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O5LupSLHPyurJpnqVAmBdQzFrCjlBIdlN2g2FtdxOZSOHjWiTvHCYoKYpUq2QxpmGEsVjM0iXUAlvgHG4BdnnA==" workbookSaltValue="s+I4spRdx2u5zsWynlNBN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U29" i="17"/>
  <c r="BV11" i="16"/>
  <c r="BU20" i="17"/>
  <c r="BW29" i="20"/>
  <c r="BW22" i="20"/>
  <c r="BV29" i="16"/>
  <c r="BU17" i="17"/>
  <c r="T14" i="16"/>
  <c r="AA20" i="16"/>
  <c r="AZ17" i="11"/>
  <c r="BF20" i="11"/>
  <c r="S16" i="16"/>
  <c r="BL20" i="11"/>
  <c r="BL16" i="11"/>
  <c r="BH21" i="11"/>
  <c r="AZ25" i="11"/>
  <c r="AZ30" i="11" s="1"/>
  <c r="BH10" i="16"/>
  <c r="BI29" i="11"/>
  <c r="BH11" i="11"/>
  <c r="BG17" i="11"/>
  <c r="S18" i="17"/>
  <c r="BM21" i="11"/>
  <c r="BM9" i="11"/>
  <c r="AO25" i="17"/>
  <c r="BH12" i="16"/>
  <c r="BJ17" i="11"/>
  <c r="BK22" i="11"/>
  <c r="BL17" i="11"/>
  <c r="T14" i="20"/>
  <c r="BH22" i="11"/>
  <c r="BF25" i="8"/>
  <c r="BF9" i="8"/>
  <c r="L10" i="2"/>
  <c r="L28" i="2"/>
  <c r="X21" i="20"/>
  <c r="C30" i="7"/>
  <c r="S16" i="17"/>
  <c r="S17" i="17"/>
  <c r="L12" i="2"/>
  <c r="L25" i="2"/>
  <c r="L13" i="2"/>
  <c r="X10" i="21"/>
  <c r="AO14" i="21"/>
  <c r="L19" i="2"/>
  <c r="U9" i="17"/>
  <c r="U31" i="17" s="1"/>
  <c r="L9" i="2"/>
  <c r="AP14" i="16"/>
  <c r="V25" i="16"/>
  <c r="X13" i="16"/>
  <c r="T23" i="17"/>
  <c r="T26" i="17" s="1"/>
  <c r="T30" i="17" s="1"/>
  <c r="BG16" i="13"/>
  <c r="BE17" i="13"/>
  <c r="X32" i="20"/>
  <c r="G23" i="14"/>
  <c r="G30" i="14"/>
  <c r="AK31" i="8" l="1"/>
  <c r="BG16" i="8"/>
  <c r="K16" i="7" s="1"/>
  <c r="AY14" i="8"/>
  <c r="I10" i="3"/>
  <c r="E10" i="3"/>
  <c r="BD9" i="8"/>
  <c r="F14" i="7"/>
  <c r="V9" i="16"/>
  <c r="AA9" i="16"/>
  <c r="L21" i="2"/>
  <c r="AA11" i="16"/>
  <c r="L20" i="2"/>
  <c r="L18" i="2"/>
  <c r="X19" i="16"/>
  <c r="L17" i="2"/>
  <c r="L16" i="2"/>
  <c r="L29" i="2"/>
  <c r="L22" i="2"/>
  <c r="BI21" i="11"/>
  <c r="BK10" i="11"/>
  <c r="BH25" i="11"/>
  <c r="BI22" i="11"/>
  <c r="AQ12" i="21"/>
  <c r="BL22" i="11"/>
  <c r="BH17" i="11"/>
  <c r="BF16" i="11"/>
  <c r="BM18" i="11"/>
  <c r="Q16" i="17"/>
  <c r="BK17" i="11"/>
  <c r="BJ10" i="11"/>
  <c r="BK20" i="11"/>
  <c r="BH25" i="16"/>
  <c r="BF12" i="11"/>
  <c r="P16" i="17"/>
  <c r="T17" i="11"/>
  <c r="R28" i="14"/>
  <c r="AZ22" i="11"/>
  <c r="BV20" i="16"/>
  <c r="S11" i="17"/>
  <c r="BU18" i="17"/>
  <c r="BV10" i="16"/>
  <c r="U10" i="17"/>
  <c r="BW16" i="20"/>
  <c r="BV25" i="16"/>
  <c r="BW17" i="20"/>
  <c r="BU21" i="17"/>
  <c r="BU11" i="17"/>
  <c r="BJ28" i="11"/>
  <c r="AZ9" i="11"/>
  <c r="AZ14" i="11" s="1"/>
  <c r="AZ13" i="11"/>
  <c r="BI19" i="11"/>
  <c r="BI25" i="11"/>
  <c r="BG22" i="11"/>
  <c r="Q18" i="20"/>
  <c r="Q23" i="20" s="1"/>
  <c r="V16" i="11"/>
  <c r="Z14" i="17"/>
  <c r="BE16" i="13"/>
  <c r="BF17" i="8"/>
  <c r="B16" i="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V21" i="16"/>
  <c r="BW13" i="20"/>
  <c r="BV13" i="16"/>
  <c r="BV28" i="16"/>
  <c r="BU25" i="17"/>
  <c r="BG21" i="11"/>
  <c r="AP18" i="20"/>
  <c r="AP26" i="21"/>
  <c r="BG19" i="11"/>
  <c r="V20" i="11"/>
  <c r="AP16" i="20"/>
  <c r="BJ16" i="11"/>
  <c r="V9" i="11"/>
  <c r="BM12" i="11"/>
  <c r="V11" i="11"/>
  <c r="BK29" i="11"/>
  <c r="BG20" i="11"/>
  <c r="BF28" i="11"/>
  <c r="BH16" i="16"/>
  <c r="BF13" i="11"/>
  <c r="BH9" i="16"/>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U26" i="17"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<sst xmlns="http://schemas.openxmlformats.org/spreadsheetml/2006/main" count="2662" uniqueCount="1174">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</sst>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ypa+5wQgUM98WjOZS5pg+0Al6uEEOW23/leqNhxq+X4gP51mV076qb13iZef0J2EcFjayme3PyEzavVwT/X/PQ==" saltValue="dKaM3THnoxCsGvIXxm4u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ISLAS BALEARES</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7.3908531434777363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75</v>
      </c>
      <c r="D10" s="239">
        <f>IF(ISNUMBER(Datos!I10),Datos!I10," - ")</f>
        <v>75</v>
      </c>
      <c r="E10" s="240">
        <f>IF(ISNUMBER(Datos!J10),Datos!J10," - ")</f>
        <v>127</v>
      </c>
      <c r="F10" s="240">
        <f>IF(ISNUMBER(Datos!K10),Datos!K10," - ")</f>
        <v>87</v>
      </c>
      <c r="G10" s="1390" t="str">
        <f>IF(Datos!E10&lt;&gt;"",Datos!E10,Datos!D10)</f>
        <v>37</v>
      </c>
      <c r="H10" s="241">
        <f>IF(ISNUMBER(Datos!L10),Datos!L10," - ")</f>
        <v>115</v>
      </c>
      <c r="I10" s="1400" t="str">
        <f>IF(ISNUMBER(Datos!AS10/Datos!BM10),Datos!AS10/Datos!BM10," - ")</f>
        <v xml:space="preserve"> - </v>
      </c>
      <c r="J10" s="1401">
        <f>IF(ISNUMBER(Datos!BY10/Datos!CN10),Datos!BY10/Datos!CN10," - ")</f>
        <v>0</v>
      </c>
      <c r="K10" s="244">
        <f t="shared" ref="K10:K13" si="1">IF(ISNUMBER((E10-F10)/C10),(E10-F10)/C10," - ")</f>
        <v>0.53333333333333333</v>
      </c>
      <c r="L10" s="1402">
        <f>IF(ISNUMBER(NºAsuntos!I10/NºAsuntos!G10),(NºAsuntos!I10/NºAsuntos!G10)*11," - ")</f>
        <v>14.540229885057471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75</v>
      </c>
      <c r="D14" s="1407">
        <f>SUBTOTAL(9,D9:D13)</f>
        <v>75</v>
      </c>
      <c r="E14" s="1408">
        <f>SUBTOTAL(9,E9:E13)</f>
        <v>127</v>
      </c>
      <c r="F14" s="1409">
        <f>SUBTOTAL(9,F9:F13)</f>
        <v>87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4469</v>
      </c>
      <c r="D16" s="239">
        <f>IF(ISNUMBER(IF(D_I="SI",Datos!I16,Datos!I16+Datos!AC16)),IF(D_I="SI",Datos!I16,Datos!I16+Datos!AC16)," - ")</f>
        <v>5015</v>
      </c>
      <c r="E16" s="240">
        <f>IF(ISNUMBER(IF(D_I="SI",Datos!J16,Datos!J16+Datos!AD16)),IF(D_I="SI",Datos!J16,Datos!J16+Datos!AD16)," - ")</f>
        <v>10533</v>
      </c>
      <c r="F16" s="240">
        <f>IF(ISNUMBER(IF(D_I="SI",Datos!K16,Datos!K16+Datos!AE16)),IF(D_I="SI",Datos!K16,Datos!K16+Datos!AE16)," - ")</f>
        <v>10849</v>
      </c>
      <c r="G16" s="1390" t="str">
        <f>IF(Datos!E16&lt;&gt;"",Datos!E16,Datos!D16)</f>
        <v>03</v>
      </c>
      <c r="H16" s="241">
        <f>IF(ISNUMBER(IF(D_I="SI",Datos!L16,Datos!L16+Datos!AF16)),IF(D_I="SI",Datos!L16,Datos!L16+Datos!AF16)," - ")</f>
        <v>4153</v>
      </c>
      <c r="I16" s="1400" t="str">
        <f>IF(ISNUMBER(Datos!AS16/Datos!BM16),Datos!AS16/Datos!BM16," - ")</f>
        <v xml:space="preserve"> - </v>
      </c>
      <c r="J16" s="1401">
        <f>IF(ISNUMBER(Datos!BY16/Datos!CN16),Datos!BY16/Datos!CN16," - ")</f>
        <v>0</v>
      </c>
      <c r="K16" s="244">
        <f t="shared" ref="K16:K22" si="3">IF(ISNUMBER((E16-F16)/C16),(E16-F16)/C16," - ")</f>
        <v>-7.0709330946520474E-2</v>
      </c>
      <c r="L16" s="1402">
        <f>IF(ISNUMBER(NºAsuntos!I16/NºAsuntos!G16),(NºAsuntos!I16/NºAsuntos!G16)*11," - ")</f>
        <v>4.2108028389713343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306</v>
      </c>
      <c r="D18" s="239">
        <f>IF(ISNUMBER(IF(D_I="SI",Datos!I18,Datos!I18+Datos!AC18)),IF(D_I="SI",Datos!I18,Datos!I18+Datos!AC18)," - ")</f>
        <v>304</v>
      </c>
      <c r="E18" s="240">
        <f>IF(ISNUMBER(IF(D_I="SI",Datos!J18,Datos!J18+Datos!AD18)),IF(D_I="SI",Datos!J18,Datos!J18+Datos!AD18)," - ")</f>
        <v>1350</v>
      </c>
      <c r="F18" s="240">
        <f>IF(ISNUMBER(IF(D_I="SI",Datos!K18,Datos!K18+Datos!AE18)),IF(D_I="SI",Datos!K18,Datos!K18+Datos!AE18)," - ")</f>
        <v>1345</v>
      </c>
      <c r="G18" s="1390" t="str">
        <f>IF(Datos!E18&lt;&gt;"",Datos!E18,Datos!D18)</f>
        <v>37</v>
      </c>
      <c r="H18" s="241">
        <f>IF(ISNUMBER(IF(D_I="SI",Datos!L18,Datos!L18+Datos!AF18)),IF(D_I="SI",Datos!L18,Datos!L18+Datos!AF18)," - ")</f>
        <v>311</v>
      </c>
      <c r="I18" s="1400" t="str">
        <f>IF(ISNUMBER(Datos!AS18/Datos!BM18),Datos!AS18/Datos!BM18," - ")</f>
        <v xml:space="preserve"> - </v>
      </c>
      <c r="J18" s="1401" t="str">
        <f>IF(ISNUMBER((Datos!BY18+Datos!BZ18)/Datos!CN18),(Datos!BY18+Datos!BZ18)/Datos!CN18," - ")</f>
        <v xml:space="preserve"> - </v>
      </c>
      <c r="K18" s="244">
        <f t="shared" si="3"/>
        <v>1.6339869281045753E-2</v>
      </c>
      <c r="L18" s="1402">
        <f>IF(ISNUMBER(NºAsuntos!I18/NºAsuntos!G18),(NºAsuntos!I18/NºAsuntos!G18)*11," - ")</f>
        <v>2.5434944237918216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228</v>
      </c>
      <c r="D21" s="239">
        <f>IF(ISNUMBER(Datos!I21),Datos!I21," - ")</f>
        <v>199</v>
      </c>
      <c r="E21" s="240">
        <f>IF(ISNUMBER(Datos!J21),Datos!J21," - ")</f>
        <v>766</v>
      </c>
      <c r="F21" s="240">
        <f>IF(ISNUMBER(Datos!K21),Datos!K21," - ")</f>
        <v>671</v>
      </c>
      <c r="G21" s="1390" t="str">
        <f>IF(Datos!E21&lt;&gt;"",Datos!E21,Datos!D21)</f>
        <v>09</v>
      </c>
      <c r="H21" s="241">
        <f>IF(ISNUMBER(Datos!L21),Datos!L21," - ")</f>
        <v>323</v>
      </c>
      <c r="I21" s="1400" t="str">
        <f>IF(ISNUMBER(Datos!AS21/Datos!BM21),Datos!AS21/Datos!BM21," - ")</f>
        <v xml:space="preserve"> - </v>
      </c>
      <c r="J21" s="1401" t="str">
        <f>IF(ISNUMBER(Datos!BY21/Datos!CN21),Datos!BY21/Datos!CN21," - ")</f>
        <v xml:space="preserve"> - </v>
      </c>
      <c r="K21" s="244">
        <f t="shared" si="3"/>
        <v>0.41666666666666669</v>
      </c>
      <c r="L21" s="1402">
        <f>IF(ISNUMBER(NºAsuntos!I21/NºAsuntos!G21),(NºAsuntos!I21/NºAsuntos!G21)*11," - ")</f>
        <v>5.2950819672131146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5003</v>
      </c>
      <c r="D23" s="1407">
        <f>SUBTOTAL(9,D16:D22)</f>
        <v>5518</v>
      </c>
      <c r="E23" s="1408">
        <f>SUBTOTAL(9,E16:E22)</f>
        <v>12649</v>
      </c>
      <c r="F23" s="1408">
        <f>SUBTOTAL(9,F16:F22)</f>
        <v>12865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544</v>
      </c>
      <c r="D28" s="239">
        <f>IF(ISNUMBER(Datos!I28),Datos!I28," - ")</f>
        <v>562</v>
      </c>
      <c r="E28" s="240">
        <f>IF(ISNUMBER(Datos!J28),Datos!J28," - ")</f>
        <v>1159</v>
      </c>
      <c r="F28" s="240">
        <f>IF(ISNUMBER(Datos!K28),Datos!K28," - ")</f>
        <v>988</v>
      </c>
      <c r="G28" s="1390" t="str">
        <f>IF(Datos!E28&lt;&gt;"",Datos!E28,Datos!D28)</f>
        <v>05</v>
      </c>
      <c r="H28" s="241">
        <f>IF(ISNUMBER(Datos!L28),Datos!L28," - ")</f>
        <v>715</v>
      </c>
      <c r="I28" s="1400" t="str">
        <f>IF(ISNUMBER(Datos!AS28/Datos!BM28),Datos!AS28/Datos!BM28," - ")</f>
        <v xml:space="preserve"> - </v>
      </c>
      <c r="J28" s="1401" t="str">
        <f>IF(ISNUMBER(Datos!BY28/Datos!CN28),Datos!BY28/Datos!CN28," - ")</f>
        <v xml:space="preserve"> - </v>
      </c>
      <c r="K28" s="244">
        <f>IF(ISNUMBER((E28-F28)/C28),(E28-F28)/C28," - ")</f>
        <v>0.31433823529411764</v>
      </c>
      <c r="L28" s="1402">
        <f>IF(ISNUMBER(NºAsuntos!I28/NºAsuntos!G28),(NºAsuntos!I28/NºAsuntos!G28)*11," - ")</f>
        <v>7.9605263157894743</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544</v>
      </c>
      <c r="D30" s="1407">
        <f>SUBTOTAL(9,D28:D29)</f>
        <v>562</v>
      </c>
      <c r="E30" s="1408">
        <f>SUBTOTAL(9,E28:E29)</f>
        <v>1159</v>
      </c>
      <c r="F30" s="1408">
        <f>SUBTOTAL(9,F28:F29)</f>
        <v>988</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5622</v>
      </c>
      <c r="D31" s="1435">
        <f>SUBTOTAL(9,D9:D30)</f>
        <v>6155</v>
      </c>
      <c r="E31" s="1436">
        <f>SUBTOTAL(9,E9:E30)</f>
        <v>13935</v>
      </c>
      <c r="F31" s="1436">
        <f>SUBTOTAL(9,F9:F30)</f>
        <v>13940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IoWgcCXVpQnxVxFbbDhLJ+q4tBcJ4PrD3E15MVPFgxUyzzH+gtRmTrftjiCrcH5ceQz2bD/56vxObkbYStS07A==" saltValue="dbGxNXub+W5W9PGdmGkuG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DQe6HHkoW5th5C62vS5JSN16KzaPqzhI9lQDyhGJUVdiRNq/YuRN7lwXopUOULC0wZWWKvWVLdyoAhIJtS6GlA==" saltValue="Fjcw98x6xSA9axNk3qXg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v>5259</v>
      </c>
      <c r="J9" s="194">
        <v>7988</v>
      </c>
      <c r="K9" s="194">
        <v>7618</v>
      </c>
      <c r="L9" s="194">
        <v>5384</v>
      </c>
      <c r="M9" s="194">
        <v>2170</v>
      </c>
      <c r="N9" s="194">
        <v>2347</v>
      </c>
      <c r="O9" s="194">
        <v>2276</v>
      </c>
      <c r="P9" s="194">
        <v>1887</v>
      </c>
      <c r="Q9" s="194">
        <v>1552</v>
      </c>
      <c r="R9" s="194">
        <v>6184</v>
      </c>
      <c r="S9" s="194">
        <v>6378</v>
      </c>
      <c r="T9" s="194">
        <v>6786</v>
      </c>
      <c r="U9" s="194">
        <v>7814</v>
      </c>
      <c r="V9" s="194">
        <v>5259</v>
      </c>
      <c r="W9" s="194">
        <v>2078</v>
      </c>
      <c r="X9" s="201">
        <v>2505</v>
      </c>
      <c r="Y9" s="204">
        <v>228</v>
      </c>
      <c r="Z9" s="194">
        <v>625</v>
      </c>
      <c r="AA9" s="194">
        <v>669</v>
      </c>
      <c r="AB9" s="194">
        <v>184</v>
      </c>
      <c r="AC9" s="194">
        <v>0</v>
      </c>
      <c r="AD9" s="194">
        <v>0</v>
      </c>
      <c r="AE9" s="194">
        <v>0</v>
      </c>
      <c r="AF9" s="201">
        <v>0</v>
      </c>
      <c r="AG9" s="204">
        <v>241</v>
      </c>
      <c r="AH9" s="194">
        <v>659</v>
      </c>
      <c r="AI9" s="194">
        <v>672</v>
      </c>
      <c r="AJ9" s="205">
        <v>228</v>
      </c>
      <c r="AK9" s="193">
        <v>0</v>
      </c>
      <c r="AL9" s="194">
        <v>0</v>
      </c>
      <c r="AM9" s="194">
        <v>0</v>
      </c>
      <c r="AN9" s="201">
        <v>0</v>
      </c>
      <c r="AO9" s="282">
        <v>5</v>
      </c>
      <c r="AP9" s="167">
        <v>5</v>
      </c>
      <c r="AQ9" s="167">
        <v>5</v>
      </c>
      <c r="AR9" s="206">
        <v>5</v>
      </c>
      <c r="AS9" s="379" t="s">
        <v>1056</v>
      </c>
      <c r="AT9" s="208"/>
      <c r="AU9" s="207"/>
      <c r="AV9" s="208"/>
      <c r="AW9" s="207"/>
      <c r="AX9" s="208"/>
      <c r="AY9" s="133">
        <f>IF(ISNUMBER(IF(J_V="SI",S9,S9+AG9)),IF(J_V="SI",S9,S9+AG9)," - ")</f>
        <v>6619</v>
      </c>
      <c r="AZ9" s="133">
        <f>IF(ISNUMBER(IF(J_V="SI",T9,T9+AH9)),IF(J_V="SI",T9,T9+AH9)," - ")</f>
        <v>7445</v>
      </c>
      <c r="BA9" s="134">
        <f>IF(ISNUMBER(IF(J_V="SI",U9,U9+AI9)),IF(J_V="SI",U9,U9+AI9)," - ")</f>
        <v>8486</v>
      </c>
      <c r="BB9" s="134">
        <f>IF(ISNUMBER(IF(J_V="SI",V9,V9+AJ9)),IF(J_V="SI",V9,V9+AJ9)," - ")</f>
        <v>5487</v>
      </c>
      <c r="BC9" s="135">
        <f>IF(ISNUMBER(X9),X9," - ")</f>
        <v>2505</v>
      </c>
      <c r="BD9" s="136">
        <f>IF(ISNUMBER(BA9/AZ9),BA9/AZ9," - ")</f>
        <v>1.1398253861652115</v>
      </c>
      <c r="BE9" s="137">
        <f>IF(ISNUMBER(BB9/BA9),BB9/BA9, " - ")</f>
        <v>0.6465943907612538</v>
      </c>
      <c r="BF9" s="137">
        <f>IF(ISNUMBER(BC9/BA9),BC9/BA9, " - ")</f>
        <v>0.29519208107471129</v>
      </c>
      <c r="BG9" s="209">
        <f>IF(ISNUMBER((AY9+AZ9)/BA9),(AY9+AZ9)/BA9," - ")</f>
        <v>1.6573179354230498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75</v>
      </c>
      <c r="J10" s="194">
        <v>127</v>
      </c>
      <c r="K10" s="194">
        <v>87</v>
      </c>
      <c r="L10" s="194">
        <v>115</v>
      </c>
      <c r="M10" s="194">
        <v>39</v>
      </c>
      <c r="N10" s="194">
        <v>34</v>
      </c>
      <c r="O10" s="194">
        <v>19</v>
      </c>
      <c r="P10" s="194">
        <v>20</v>
      </c>
      <c r="Q10" s="194">
        <v>14</v>
      </c>
      <c r="R10" s="194">
        <v>23</v>
      </c>
      <c r="S10" s="194">
        <v>104</v>
      </c>
      <c r="T10" s="194">
        <v>81</v>
      </c>
      <c r="U10" s="194">
        <v>110</v>
      </c>
      <c r="V10" s="194">
        <v>75</v>
      </c>
      <c r="W10" s="194">
        <v>53</v>
      </c>
      <c r="X10" s="201">
        <v>35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1050</v>
      </c>
      <c r="AT10" s="205"/>
      <c r="AU10" s="213"/>
      <c r="AV10" s="205"/>
      <c r="AW10" s="213"/>
      <c r="AX10" s="205"/>
      <c r="AY10" s="138">
        <f t="shared" ref="AY10:BC10" si="0">IF(ISNUMBER(S10),S10," - ")</f>
        <v>104</v>
      </c>
      <c r="AZ10" s="139">
        <f t="shared" si="0"/>
        <v>81</v>
      </c>
      <c r="BA10" s="139">
        <f t="shared" si="0"/>
        <v>110</v>
      </c>
      <c r="BB10" s="139">
        <f t="shared" si="0"/>
        <v>75</v>
      </c>
      <c r="BC10" s="135">
        <f t="shared" si="0"/>
        <v>53</v>
      </c>
      <c r="BD10" s="136">
        <f>IF(ISNUMBER(BA10/AZ10),BA10/AZ10," - ")</f>
        <v>1.3580246913580247</v>
      </c>
      <c r="BE10" s="137">
        <f>IF(ISNUMBER(BB10/BA10),BB10/BA10, " - ")</f>
        <v>0.68181818181818177</v>
      </c>
      <c r="BF10" s="137">
        <f>IF(ISNUMBER(BC10/BA10),BC10/BA10, " - ")</f>
        <v>0.48181818181818181</v>
      </c>
      <c r="BG10" s="209">
        <f>IF(ISNUMBER((AY10+AZ10)/BA10),(AY10+AZ10)/BA10," - ")</f>
        <v>1.6818181818181819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1070</v>
      </c>
      <c r="J12" s="196" t="s">
        <v>1057</v>
      </c>
      <c r="K12" s="196" t="s">
        <v>1133</v>
      </c>
      <c r="L12" s="196" t="s">
        <v>1075</v>
      </c>
      <c r="M12" s="196" t="s">
        <v>646</v>
      </c>
      <c r="N12" s="196" t="s">
        <v>661</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5334</v>
      </c>
      <c r="J14" s="197">
        <f t="shared" si="7"/>
        <v>8115</v>
      </c>
      <c r="K14" s="197">
        <f t="shared" si="7"/>
        <v>7705</v>
      </c>
      <c r="L14" s="197">
        <f t="shared" si="7"/>
        <v>5499</v>
      </c>
      <c r="M14" s="197">
        <f t="shared" si="7"/>
        <v>2209</v>
      </c>
      <c r="N14" s="197">
        <f t="shared" si="7"/>
        <v>2381</v>
      </c>
      <c r="O14" s="197">
        <f t="shared" si="7"/>
        <v>2295</v>
      </c>
      <c r="P14" s="197">
        <f t="shared" si="7"/>
        <v>1907</v>
      </c>
      <c r="Q14" s="197">
        <f t="shared" si="7"/>
        <v>1566</v>
      </c>
      <c r="R14" s="197">
        <f t="shared" si="7"/>
        <v>6207</v>
      </c>
      <c r="S14" s="197">
        <f t="shared" si="7"/>
        <v>6482</v>
      </c>
      <c r="T14" s="197">
        <f t="shared" si="7"/>
        <v>6867</v>
      </c>
      <c r="U14" s="197">
        <f t="shared" si="7"/>
        <v>7924</v>
      </c>
      <c r="V14" s="197">
        <f t="shared" si="7"/>
        <v>5334</v>
      </c>
      <c r="W14" s="197">
        <f t="shared" si="7"/>
        <v>2131</v>
      </c>
      <c r="X14" s="197">
        <f t="shared" si="7"/>
        <v>2540</v>
      </c>
      <c r="Y14" s="197">
        <f t="shared" si="7"/>
        <v>228</v>
      </c>
      <c r="Z14" s="197">
        <f t="shared" si="7"/>
        <v>625</v>
      </c>
      <c r="AA14" s="197">
        <f t="shared" si="7"/>
        <v>669</v>
      </c>
      <c r="AB14" s="197">
        <f t="shared" si="7"/>
        <v>184</v>
      </c>
      <c r="AC14" s="197">
        <f t="shared" si="7"/>
        <v>0</v>
      </c>
      <c r="AD14" s="197">
        <f t="shared" si="7"/>
        <v>0</v>
      </c>
      <c r="AE14" s="197">
        <f t="shared" si="7"/>
        <v>0</v>
      </c>
      <c r="AF14" s="197">
        <f>SUBTOTAL(9,AF9:AF13)</f>
        <v>0</v>
      </c>
      <c r="AG14" s="197">
        <f t="shared" ref="AG14:AT14" si="8">SUBTOTAL(9,AG8:AG13)</f>
        <v>241</v>
      </c>
      <c r="AH14" s="197">
        <f t="shared" si="8"/>
        <v>659</v>
      </c>
      <c r="AI14" s="197">
        <f t="shared" si="8"/>
        <v>672</v>
      </c>
      <c r="AJ14" s="197">
        <f t="shared" si="8"/>
        <v>228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6723</v>
      </c>
      <c r="AZ14" s="197">
        <f>SUBTOTAL(9,AZ8:AZ13)</f>
        <v>7526</v>
      </c>
      <c r="BA14" s="197">
        <f>SUBTOTAL(9,BA8:BA13)</f>
        <v>8596</v>
      </c>
      <c r="BB14" s="197">
        <f>SUBTOTAL(9,BB8:BB13)</f>
        <v>5562</v>
      </c>
      <c r="BC14" s="197">
        <f>SUBTOTAL(9,BC8:BC13)</f>
        <v>2558</v>
      </c>
      <c r="BD14" s="219">
        <f>IF(ISNUMBER(BA14/AZ14),BA14/AZ14," - ")</f>
        <v>1.142173797501993</v>
      </c>
      <c r="BE14" s="220">
        <f>IF(ISNUMBER(BB14/BA14),BB14/BA14, " - ")</f>
        <v>0.64704513727315027</v>
      </c>
      <c r="BF14" s="220">
        <f>IF(ISNUMBER(BC14/BA14),BC14/BA14, " - ")</f>
        <v>0.29758026989297348</v>
      </c>
      <c r="BG14" s="221">
        <f>IF(ISNUMBER((AY14+AZ14)/BA14),(AY14+AZ14)/BA14," - ")</f>
        <v>1.6576314564913914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5015</v>
      </c>
      <c r="J16" s="196">
        <v>10533</v>
      </c>
      <c r="K16" s="196">
        <v>10849</v>
      </c>
      <c r="L16" s="196">
        <v>4153</v>
      </c>
      <c r="M16" s="196">
        <v>1665</v>
      </c>
      <c r="N16" s="196">
        <v>6876</v>
      </c>
      <c r="O16" s="194">
        <v>13</v>
      </c>
      <c r="P16" s="196">
        <v>210</v>
      </c>
      <c r="Q16" s="196">
        <v>205</v>
      </c>
      <c r="R16" s="196">
        <v>247</v>
      </c>
      <c r="S16" s="196">
        <v>5672</v>
      </c>
      <c r="T16" s="196">
        <v>8389</v>
      </c>
      <c r="U16" s="196">
        <v>9091</v>
      </c>
      <c r="V16" s="196">
        <v>5015</v>
      </c>
      <c r="W16" s="196">
        <v>1562</v>
      </c>
      <c r="X16" s="202">
        <v>5539</v>
      </c>
      <c r="Y16" s="215">
        <v>0</v>
      </c>
      <c r="Z16" s="196">
        <v>0</v>
      </c>
      <c r="AA16" s="196">
        <v>0</v>
      </c>
      <c r="AB16" s="196">
        <v>0</v>
      </c>
      <c r="AC16" s="196">
        <v>0</v>
      </c>
      <c r="AD16" s="196">
        <v>4</v>
      </c>
      <c r="AE16" s="196">
        <v>4</v>
      </c>
      <c r="AF16" s="202">
        <v>0</v>
      </c>
      <c r="AG16" s="215">
        <v>0</v>
      </c>
      <c r="AH16" s="196">
        <v>0</v>
      </c>
      <c r="AI16" s="196">
        <v>0</v>
      </c>
      <c r="AJ16" s="216">
        <v>0</v>
      </c>
      <c r="AK16" s="195">
        <v>6</v>
      </c>
      <c r="AL16" s="196">
        <v>4</v>
      </c>
      <c r="AM16" s="196">
        <v>10</v>
      </c>
      <c r="AN16" s="202">
        <v>0</v>
      </c>
      <c r="AO16" s="283">
        <v>4</v>
      </c>
      <c r="AP16" s="168">
        <v>4</v>
      </c>
      <c r="AQ16" s="168">
        <v>4</v>
      </c>
      <c r="AR16" s="168">
        <v>4</v>
      </c>
      <c r="AS16" s="381" t="s">
        <v>688</v>
      </c>
      <c r="AT16" s="216" t="s">
        <v>417</v>
      </c>
      <c r="AU16" s="215"/>
      <c r="AV16" s="216"/>
      <c r="AW16" s="215"/>
      <c r="AX16" s="216"/>
      <c r="AY16" s="138">
        <f t="shared" ref="AY16:BB17" si="10">IF(ISNUMBER(IF(D_I="SI",S16,S16+AK16)),IF(D_I="SI",S16,S16+AK16)," - ")</f>
        <v>5672</v>
      </c>
      <c r="AZ16" s="139">
        <f t="shared" si="10"/>
        <v>8389</v>
      </c>
      <c r="BA16" s="139">
        <f t="shared" si="10"/>
        <v>9091</v>
      </c>
      <c r="BB16" s="139">
        <f t="shared" si="10"/>
        <v>5015</v>
      </c>
      <c r="BC16" s="135">
        <f>IF(ISNUMBER(W16),W16," - ")</f>
        <v>1562</v>
      </c>
      <c r="BD16" s="136">
        <f>IF(ISNUMBER(BA16/AZ16),BA16/AZ16," - ")</f>
        <v>1.0836810108475385</v>
      </c>
      <c r="BE16" s="137">
        <f>IF(ISNUMBER(BB16/BA16),BB16/BA16, " - ")</f>
        <v>0.55164448355516449</v>
      </c>
      <c r="BF16" s="137">
        <f>IF(ISNUMBER(BC16/BA16),BC16/BA16, " - ")</f>
        <v>0.17181828181718184</v>
      </c>
      <c r="BG16" s="209">
        <f t="shared" ref="BG16:BG22" si="11">IF(ISNUMBER((AY16+AZ16)/BA16),(AY16+AZ16)/BA16," - ")</f>
        <v>1.5466945330546695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644</v>
      </c>
      <c r="J17" s="196" t="s">
        <v>640</v>
      </c>
      <c r="K17" s="196" t="s">
        <v>641</v>
      </c>
      <c r="L17" s="196" t="s">
        <v>642</v>
      </c>
      <c r="M17" s="196" t="s">
        <v>647</v>
      </c>
      <c r="N17" s="196" t="s">
        <v>196</v>
      </c>
      <c r="O17" s="194" t="s">
        <v>283</v>
      </c>
      <c r="P17" s="196" t="s">
        <v>626</v>
      </c>
      <c r="Q17" s="196" t="s">
        <v>627</v>
      </c>
      <c r="R17" s="196" t="s">
        <v>628</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304</v>
      </c>
      <c r="J18" s="196">
        <v>1350</v>
      </c>
      <c r="K18" s="196">
        <v>1345</v>
      </c>
      <c r="L18" s="196">
        <v>311</v>
      </c>
      <c r="M18" s="196">
        <v>212</v>
      </c>
      <c r="N18" s="196">
        <v>667</v>
      </c>
      <c r="O18" s="196">
        <v>10</v>
      </c>
      <c r="P18" s="196">
        <v>9</v>
      </c>
      <c r="Q18" s="196">
        <v>11</v>
      </c>
      <c r="R18" s="196">
        <v>7</v>
      </c>
      <c r="S18" s="196">
        <v>405</v>
      </c>
      <c r="T18" s="196">
        <v>1200</v>
      </c>
      <c r="U18" s="196">
        <v>1297</v>
      </c>
      <c r="V18" s="196">
        <v>304</v>
      </c>
      <c r="W18" s="196">
        <v>200</v>
      </c>
      <c r="X18" s="202">
        <v>654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1049</v>
      </c>
      <c r="AT18" s="223"/>
      <c r="AU18" s="213"/>
      <c r="AV18" s="223"/>
      <c r="AW18" s="213"/>
      <c r="AX18" s="223"/>
      <c r="AY18" s="138">
        <f t="shared" ref="AY18:BB19" si="15">IF(ISNUMBER(S18),S18," - ")</f>
        <v>405</v>
      </c>
      <c r="AZ18" s="139">
        <f t="shared" si="15"/>
        <v>1200</v>
      </c>
      <c r="BA18" s="139">
        <f t="shared" si="15"/>
        <v>1297</v>
      </c>
      <c r="BB18" s="139">
        <f t="shared" si="15"/>
        <v>304</v>
      </c>
      <c r="BC18" s="135">
        <f>IF(ISNUMBER(W18),W18," - ")</f>
        <v>200</v>
      </c>
      <c r="BD18" s="136">
        <f>IF(ISNUMBER(BA18/AZ18),BA18/AZ18," - ")</f>
        <v>1.0808333333333333</v>
      </c>
      <c r="BE18" s="137">
        <f>IF(ISNUMBER(BB18/BA18),BB18/BA18, " - ")</f>
        <v>0.23438704703161142</v>
      </c>
      <c r="BF18" s="137">
        <f>IF(ISNUMBER(BC18/BA18),BC18/BA18, " - ")</f>
        <v>0.15420200462606015</v>
      </c>
      <c r="BG18" s="209">
        <f>IF(ISNUMBER((AY18+AZ18)/BA18),(AY18+AZ18)/BA18," - ")</f>
        <v>1.2374710871241326</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199</v>
      </c>
      <c r="J21" s="196">
        <v>766</v>
      </c>
      <c r="K21" s="196">
        <v>671</v>
      </c>
      <c r="L21" s="196">
        <v>323</v>
      </c>
      <c r="M21" s="196">
        <v>624</v>
      </c>
      <c r="N21" s="196">
        <v>34</v>
      </c>
      <c r="O21" s="196">
        <v>867</v>
      </c>
      <c r="P21" s="196">
        <v>1636</v>
      </c>
      <c r="Q21" s="196">
        <v>1755</v>
      </c>
      <c r="R21" s="196">
        <v>3274</v>
      </c>
      <c r="S21" s="196">
        <v>197</v>
      </c>
      <c r="T21" s="196">
        <v>557</v>
      </c>
      <c r="U21" s="196">
        <v>586</v>
      </c>
      <c r="V21" s="196">
        <v>199</v>
      </c>
      <c r="W21" s="196">
        <v>551</v>
      </c>
      <c r="X21" s="202">
        <v>25</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201</v>
      </c>
      <c r="AT21" s="345"/>
      <c r="AU21" s="215"/>
      <c r="AV21" s="216"/>
      <c r="AW21" s="215"/>
      <c r="AX21" s="216"/>
      <c r="AY21" s="138">
        <f t="shared" si="16"/>
        <v>197</v>
      </c>
      <c r="AZ21" s="139">
        <f t="shared" si="17"/>
        <v>557</v>
      </c>
      <c r="BA21" s="139">
        <f t="shared" si="18"/>
        <v>586</v>
      </c>
      <c r="BB21" s="139">
        <f t="shared" si="19"/>
        <v>199</v>
      </c>
      <c r="BC21" s="135">
        <f t="shared" si="20"/>
        <v>551</v>
      </c>
      <c r="BD21" s="136">
        <f t="shared" si="12"/>
        <v>1.052064631956912</v>
      </c>
      <c r="BE21" s="137">
        <f t="shared" si="13"/>
        <v>0.33959044368600683</v>
      </c>
      <c r="BF21" s="137">
        <f t="shared" si="14"/>
        <v>0.94027303754266212</v>
      </c>
      <c r="BG21" s="209">
        <f t="shared" si="11"/>
        <v>1.2866894197952219</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5518</v>
      </c>
      <c r="J23" s="197">
        <f t="shared" si="21"/>
        <v>12649</v>
      </c>
      <c r="K23" s="197">
        <f t="shared" si="21"/>
        <v>12865</v>
      </c>
      <c r="L23" s="197">
        <f t="shared" si="21"/>
        <v>4787</v>
      </c>
      <c r="M23" s="197">
        <f t="shared" si="21"/>
        <v>2501</v>
      </c>
      <c r="N23" s="197">
        <f t="shared" si="21"/>
        <v>7577</v>
      </c>
      <c r="O23" s="197">
        <f t="shared" si="21"/>
        <v>890</v>
      </c>
      <c r="P23" s="197">
        <f t="shared" si="21"/>
        <v>1855</v>
      </c>
      <c r="Q23" s="197">
        <f t="shared" si="21"/>
        <v>1971</v>
      </c>
      <c r="R23" s="197">
        <f t="shared" si="21"/>
        <v>3528</v>
      </c>
      <c r="S23" s="197">
        <f t="shared" si="21"/>
        <v>6274</v>
      </c>
      <c r="T23" s="197">
        <f t="shared" si="21"/>
        <v>10146</v>
      </c>
      <c r="U23" s="197">
        <f t="shared" si="21"/>
        <v>10974</v>
      </c>
      <c r="V23" s="197">
        <f t="shared" si="21"/>
        <v>5518</v>
      </c>
      <c r="W23" s="197">
        <f t="shared" si="21"/>
        <v>2313</v>
      </c>
      <c r="X23" s="197">
        <f t="shared" si="21"/>
        <v>6218</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6</v>
      </c>
      <c r="AL23" s="197">
        <f t="shared" si="21"/>
        <v>4</v>
      </c>
      <c r="AM23" s="197">
        <f t="shared" si="21"/>
        <v>10</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6274</v>
      </c>
      <c r="AZ23" s="197">
        <f>SUBTOTAL(9,AZ15:AZ22)</f>
        <v>10146</v>
      </c>
      <c r="BA23" s="197">
        <f>SUBTOTAL(9,BA15:BA22)</f>
        <v>10974</v>
      </c>
      <c r="BB23" s="197">
        <f>SUBTOTAL(9,BB15:BB22)</f>
        <v>5518</v>
      </c>
      <c r="BC23" s="197">
        <f>SUBTOTAL(9,BC15:BC22)</f>
        <v>2313</v>
      </c>
      <c r="BD23" s="219">
        <f>IF(ISNUMBER(BA23/AZ23),BA23/AZ23," - ")</f>
        <v>1.0816085156712005</v>
      </c>
      <c r="BE23" s="220">
        <f>IF(ISNUMBER(BB23/BA23),BB23/BA23, " - ")</f>
        <v>0.50282485875706218</v>
      </c>
      <c r="BF23" s="220">
        <f>IF(ISNUMBER(BC23/BA23),BC23/BA23, " - ")</f>
        <v>0.21077091306724988</v>
      </c>
      <c r="BG23" s="221">
        <f>IF(ISNUMBER((AY23+AZ23)/BA23),(AY23+AZ23)/BA23," - ")</f>
        <v>1.4962638964825952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562</v>
      </c>
      <c r="J28" s="196">
        <v>1159</v>
      </c>
      <c r="K28" s="196">
        <v>988</v>
      </c>
      <c r="L28" s="196">
        <v>715</v>
      </c>
      <c r="M28" s="196">
        <v>393</v>
      </c>
      <c r="N28" s="196">
        <v>186</v>
      </c>
      <c r="O28" s="196">
        <v>507</v>
      </c>
      <c r="P28" s="196">
        <v>170</v>
      </c>
      <c r="Q28" s="196">
        <v>219</v>
      </c>
      <c r="R28" s="196">
        <v>95</v>
      </c>
      <c r="S28" s="196">
        <v>960</v>
      </c>
      <c r="T28" s="196">
        <v>863</v>
      </c>
      <c r="U28" s="196">
        <v>1255</v>
      </c>
      <c r="V28" s="196">
        <v>562</v>
      </c>
      <c r="W28" s="196">
        <v>527</v>
      </c>
      <c r="X28" s="202">
        <v>260</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960</v>
      </c>
      <c r="AZ28" s="139">
        <f t="shared" si="30"/>
        <v>863</v>
      </c>
      <c r="BA28" s="139">
        <f t="shared" si="30"/>
        <v>1255</v>
      </c>
      <c r="BB28" s="139">
        <f t="shared" si="30"/>
        <v>562</v>
      </c>
      <c r="BC28" s="135">
        <f t="shared" si="30"/>
        <v>527</v>
      </c>
      <c r="BD28" s="136">
        <f t="shared" ref="BD28:BD30" si="31">IF(ISNUMBER(BA28/AZ28),BA28/AZ28," - ")</f>
        <v>1.4542294322132097</v>
      </c>
      <c r="BE28" s="137">
        <f t="shared" ref="BE28:BE30" si="32">IF(ISNUMBER(BB28/BA28),BB28/BA28, " - ")</f>
        <v>0.44780876494023902</v>
      </c>
      <c r="BF28" s="137">
        <f t="shared" ref="BF28:BF30" si="33">IF(ISNUMBER(BC28/BA28),BC28/BA28, " - ")</f>
        <v>0.41992031872509961</v>
      </c>
      <c r="BG28" s="209">
        <f t="shared" ref="BG28:BG30" si="34">IF(ISNUMBER((AY28+AZ28)/BA28),(AY28+AZ28)/BA28," - ")</f>
        <v>1.4525896414342629</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562</v>
      </c>
      <c r="J30" s="197">
        <f t="shared" si="35"/>
        <v>1159</v>
      </c>
      <c r="K30" s="197">
        <f t="shared" si="35"/>
        <v>988</v>
      </c>
      <c r="L30" s="197">
        <f t="shared" si="35"/>
        <v>715</v>
      </c>
      <c r="M30" s="197">
        <f t="shared" si="35"/>
        <v>393</v>
      </c>
      <c r="N30" s="197">
        <f t="shared" si="35"/>
        <v>186</v>
      </c>
      <c r="O30" s="197">
        <f t="shared" si="35"/>
        <v>507</v>
      </c>
      <c r="P30" s="197">
        <f t="shared" si="35"/>
        <v>170</v>
      </c>
      <c r="Q30" s="197">
        <f t="shared" si="35"/>
        <v>219</v>
      </c>
      <c r="R30" s="197">
        <f t="shared" si="35"/>
        <v>95</v>
      </c>
      <c r="S30" s="197">
        <f t="shared" si="35"/>
        <v>960</v>
      </c>
      <c r="T30" s="197">
        <f t="shared" si="35"/>
        <v>863</v>
      </c>
      <c r="U30" s="197">
        <f t="shared" si="35"/>
        <v>1255</v>
      </c>
      <c r="V30" s="197">
        <f t="shared" si="35"/>
        <v>562</v>
      </c>
      <c r="W30" s="197">
        <f t="shared" si="35"/>
        <v>527</v>
      </c>
      <c r="X30" s="141">
        <f t="shared" si="35"/>
        <v>260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960</v>
      </c>
      <c r="AZ30" s="141">
        <f>SUBTOTAL(9,AZ28:AZ29)</f>
        <v>863</v>
      </c>
      <c r="BA30" s="141">
        <f>SUBTOTAL(9,BA28:BA29)</f>
        <v>1255</v>
      </c>
      <c r="BB30" s="141">
        <f>SUBTOTAL(9,BB28:BB29)</f>
        <v>562</v>
      </c>
      <c r="BC30" s="142">
        <f>SUBTOTAL(9,BC28:BC29)</f>
        <v>527</v>
      </c>
      <c r="BD30" s="140">
        <f t="shared" si="31"/>
        <v>1.4542294322132097</v>
      </c>
      <c r="BE30" s="141">
        <f t="shared" si="32"/>
        <v>0.44780876494023902</v>
      </c>
      <c r="BF30" s="141">
        <f t="shared" si="33"/>
        <v>0.41992031872509961</v>
      </c>
      <c r="BG30" s="142">
        <f t="shared" si="34"/>
        <v>1.4525896414342629</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11414</v>
      </c>
      <c r="J31" s="144">
        <f t="shared" si="36"/>
        <v>21923</v>
      </c>
      <c r="K31" s="144">
        <f t="shared" si="36"/>
        <v>21558</v>
      </c>
      <c r="L31" s="144">
        <f t="shared" si="36"/>
        <v>11001</v>
      </c>
      <c r="M31" s="144">
        <f t="shared" si="36"/>
        <v>5103</v>
      </c>
      <c r="N31" s="144">
        <f t="shared" si="36"/>
        <v>10144</v>
      </c>
      <c r="O31" s="144">
        <f t="shared" si="36"/>
        <v>3692</v>
      </c>
      <c r="P31" s="144">
        <f t="shared" si="36"/>
        <v>3932</v>
      </c>
      <c r="Q31" s="144">
        <f t="shared" si="36"/>
        <v>3756</v>
      </c>
      <c r="R31" s="144">
        <f t="shared" si="36"/>
        <v>9830</v>
      </c>
      <c r="S31" s="144">
        <f t="shared" si="36"/>
        <v>13716</v>
      </c>
      <c r="T31" s="144">
        <f t="shared" si="36"/>
        <v>17876</v>
      </c>
      <c r="U31" s="144">
        <f t="shared" si="36"/>
        <v>20153</v>
      </c>
      <c r="V31" s="144">
        <f t="shared" si="36"/>
        <v>11414</v>
      </c>
      <c r="W31" s="144">
        <f t="shared" si="36"/>
        <v>4971</v>
      </c>
      <c r="X31" s="144">
        <f t="shared" si="36"/>
        <v>9018</v>
      </c>
      <c r="Y31" s="144">
        <f t="shared" si="36"/>
        <v>228</v>
      </c>
      <c r="Z31" s="144">
        <f t="shared" si="36"/>
        <v>625</v>
      </c>
      <c r="AA31" s="144">
        <f t="shared" si="36"/>
        <v>669</v>
      </c>
      <c r="AB31" s="144">
        <f t="shared" si="36"/>
        <v>184</v>
      </c>
      <c r="AC31" s="144">
        <f t="shared" si="36"/>
        <v>0</v>
      </c>
      <c r="AD31" s="144">
        <f t="shared" si="36"/>
        <v>4</v>
      </c>
      <c r="AE31" s="144">
        <f t="shared" si="36"/>
        <v>4</v>
      </c>
      <c r="AF31" s="144">
        <f t="shared" si="36"/>
        <v>0</v>
      </c>
      <c r="AG31" s="144">
        <f t="shared" si="36"/>
        <v>241</v>
      </c>
      <c r="AH31" s="144">
        <f t="shared" si="36"/>
        <v>659</v>
      </c>
      <c r="AI31" s="144">
        <f t="shared" si="36"/>
        <v>672</v>
      </c>
      <c r="AJ31" s="144">
        <f t="shared" si="36"/>
        <v>228</v>
      </c>
      <c r="AK31" s="144">
        <f t="shared" si="36"/>
        <v>6</v>
      </c>
      <c r="AL31" s="144">
        <f t="shared" si="36"/>
        <v>4</v>
      </c>
      <c r="AM31" s="144">
        <f t="shared" si="36"/>
        <v>10</v>
      </c>
      <c r="AN31" s="224">
        <f t="shared" si="36"/>
        <v>0</v>
      </c>
      <c r="AO31" s="225">
        <v>13</v>
      </c>
      <c r="AP31" s="225">
        <v>13</v>
      </c>
      <c r="AQ31" s="225">
        <v>13</v>
      </c>
      <c r="AR31" s="225">
        <v>13</v>
      </c>
      <c r="AS31" s="166">
        <f t="shared" si="36"/>
        <v>0</v>
      </c>
      <c r="AT31" s="166">
        <f t="shared" si="36"/>
        <v>0</v>
      </c>
      <c r="AU31" s="225"/>
      <c r="AV31" s="226"/>
      <c r="AW31" s="225"/>
      <c r="AX31" s="226"/>
      <c r="AY31" s="143">
        <f>SUBTOTAL(9,AY9:AY30)</f>
        <v>13957</v>
      </c>
      <c r="AZ31" s="144">
        <f>SUBTOTAL(9,AZ9:AZ30)</f>
        <v>18535</v>
      </c>
      <c r="BA31" s="144">
        <f>SUBTOTAL(9,BA9:BA30)</f>
        <v>20825</v>
      </c>
      <c r="BB31" s="144">
        <f>SUBTOTAL(9,BB9:BB30)</f>
        <v>11642</v>
      </c>
      <c r="BC31" s="145">
        <f>SUBTOTAL(9,BC9:BC30)</f>
        <v>5398</v>
      </c>
      <c r="BD31" s="227">
        <f>IF(ISNUMBER(BA31/AZ31),BA31/AZ31," - ")</f>
        <v>1.1235500404639871</v>
      </c>
      <c r="BE31" s="224">
        <f>IF(ISNUMBER(BB31/BA31),BB31/BA31, " - ")</f>
        <v>0.55903961584633854</v>
      </c>
      <c r="BF31" s="224">
        <f>IF(ISNUMBER(BC31/BA31),BC31/BA31, " - ")</f>
        <v>0.25920768307322928</v>
      </c>
      <c r="BG31" s="145">
        <f>IF(ISNUMBER((AY31+AZ31)/BA31),(AY31+AZ31)/BA31," - ")</f>
        <v>1.5602400960384153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vqJPRnN2eErlLBnsjs3YeastUK5RI7+Dz0tHIzhTaZ6Uo1GQgjdzDM32kn1mp1RTDZwC8QTHFFHaRiIDOxkdpQ==" saltValue="B1o794kI7KJkyZKx9nMi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ulB+F/wcKWQmhUmlYAZyZ0uVG3osfP9bzhhLgt26N4vZSFZMx7cYE47oE+r1gLUhZdzqX5sRon8RzCLUBsP/Zw==" saltValue="0xP9+CdiW5iPGKx4qOr3W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EIVISSA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315</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625</v>
      </c>
      <c r="O9" s="549"/>
      <c r="P9" s="549"/>
      <c r="Q9" s="547">
        <f>IF(ISNUMBER(Datos!P9),Datos!P9,0)</f>
        <v>1887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1552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184</v>
      </c>
      <c r="AI9" s="549" t="str">
        <f>IF(ISNUMBER(Datos!CD9),Datos!CD9,"-")</f>
        <v>-</v>
      </c>
      <c r="AJ9" s="549" t="str">
        <f>IF(ISNUMBER(Datos!EN9),Datos!EN9," - ")</f>
        <v xml:space="preserve"> - </v>
      </c>
      <c r="AK9" s="549"/>
      <c r="AL9" s="550"/>
      <c r="AM9" s="766">
        <f>IF(ISNUMBER(Datos!R9),Datos!R9," - ")</f>
        <v>6184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2170</v>
      </c>
      <c r="BD9" s="693">
        <f>IF(ISNUMBER(Datos!N9),Datos!N9," - ")</f>
        <v>2347</v>
      </c>
      <c r="BE9" s="693" t="str">
        <f>IF(ISNUMBER(Datos!BW9),Datos!BW9," - ")</f>
        <v xml:space="preserve"> - </v>
      </c>
      <c r="BF9" s="762" t="str">
        <f>IF(ISNUMBER(Datos!BX9),Datos!BX9," - ")</f>
        <v xml:space="preserve"> - </v>
      </c>
      <c r="BG9" s="763">
        <f>IF(ISNUMBER(IF(J_V="SI",Datos!K9/Datos!J9,(Datos!K9+Datos!AA9)/(Datos!J9+Datos!Z9))),IF(J_V="SI",Datos!K9/Datos!J9,(Datos!K9+Datos!AA9)/(Datos!J9+Datos!Z9))," - ")</f>
        <v>0.96215023801230692</v>
      </c>
      <c r="BH9" s="764">
        <f>IF(ISNUMBER(((IF(J_V="SI",Datos!L9/Datos!K9,(Datos!L9+Datos!AB9)/(Datos!K9+Datos!AA9)))*11)/factor_trimestre),((IF(J_V="SI",Datos!L9/Datos!K9,(Datos!L9+Datos!AB9)/(Datos!K9+Datos!AA9)))*11)/factor_trimestre," - ")</f>
        <v>7.3908531434777363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5.7274747820140193E-2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75</v>
      </c>
      <c r="G10" s="543">
        <f>IF(ISNUMBER(Datos!I10),Datos!I10," - ")</f>
        <v>75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87</v>
      </c>
      <c r="AC10" s="547">
        <f>IF(ISNUMBER(Datos!Q10),Datos!Q10," - ")</f>
        <v>14</v>
      </c>
      <c r="AD10" s="549"/>
      <c r="AE10" s="563"/>
      <c r="AF10" s="551">
        <f>IF(ISNUMBER(Datos!L10),Datos!L10,"-")</f>
        <v>115</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39</v>
      </c>
      <c r="BD10" s="693">
        <f>IF(ISNUMBER(Datos!N10),Datos!N10," - ")</f>
        <v>34</v>
      </c>
      <c r="BE10" s="693" t="str">
        <f>IF(ISNUMBER(Datos!BW10),Datos!BW10," - ")</f>
        <v xml:space="preserve"> - </v>
      </c>
      <c r="BF10" s="762" t="str">
        <f>IF(ISNUMBER(Datos!BX10),Datos!BX10," - ")</f>
        <v xml:space="preserve"> - </v>
      </c>
      <c r="BG10" s="763">
        <f>IF(ISNUMBER(Datos!K10/Datos!J10),Datos!K10/Datos!J10," - ")</f>
        <v>0.68503937007874016</v>
      </c>
      <c r="BH10" s="764">
        <f>IF(ISNUMBER(((Datos!L10/Datos!K10)*11)/factor_trimestre),((Datos!L10/Datos!K10)*11)/factor_trimestre," - ")</f>
        <v>14.540229885057471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0.35294117647058826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75</v>
      </c>
      <c r="G14" s="1197">
        <f t="shared" si="1"/>
        <v>75</v>
      </c>
      <c r="H14" s="1198">
        <f t="shared" si="1"/>
        <v>0</v>
      </c>
      <c r="I14" s="1197">
        <f t="shared" si="1"/>
        <v>0</v>
      </c>
      <c r="J14" s="1164">
        <f t="shared" si="1"/>
        <v>0</v>
      </c>
      <c r="K14" s="1164">
        <f t="shared" si="1"/>
        <v>0</v>
      </c>
      <c r="L14" s="1198">
        <f t="shared" si="1"/>
        <v>0</v>
      </c>
      <c r="M14" s="1198">
        <f t="shared" si="1"/>
        <v>0</v>
      </c>
      <c r="N14" s="1198">
        <f t="shared" si="1"/>
        <v>625</v>
      </c>
      <c r="O14" s="1199">
        <f t="shared" si="1"/>
        <v>0</v>
      </c>
      <c r="P14" s="1199">
        <f t="shared" si="1"/>
        <v>0</v>
      </c>
      <c r="Q14" s="1198">
        <f t="shared" si="1"/>
        <v>1907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87</v>
      </c>
      <c r="AC14" s="1198">
        <f t="shared" si="2"/>
        <v>1566</v>
      </c>
      <c r="AD14" s="1198">
        <f t="shared" si="2"/>
        <v>0</v>
      </c>
      <c r="AE14" s="1198">
        <f t="shared" si="2"/>
        <v>0</v>
      </c>
      <c r="AF14" s="1198">
        <f t="shared" si="2"/>
        <v>115</v>
      </c>
      <c r="AG14" s="1198">
        <f t="shared" si="2"/>
        <v>0</v>
      </c>
      <c r="AH14" s="1198">
        <f t="shared" si="2"/>
        <v>184</v>
      </c>
      <c r="AI14" s="1198">
        <f t="shared" si="2"/>
        <v>0</v>
      </c>
      <c r="AJ14" s="1198">
        <f t="shared" si="2"/>
        <v>0</v>
      </c>
      <c r="AK14" s="1198">
        <f t="shared" si="2"/>
        <v>0</v>
      </c>
      <c r="AL14" s="1198">
        <f t="shared" si="2"/>
        <v>0</v>
      </c>
      <c r="AM14" s="1198">
        <f t="shared" si="2"/>
        <v>6207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2209</v>
      </c>
      <c r="BD14" s="1198">
        <f t="shared" si="2"/>
        <v>2381</v>
      </c>
      <c r="BE14" s="1198">
        <f t="shared" si="2"/>
        <v>0</v>
      </c>
      <c r="BF14" s="1198">
        <f t="shared" si="2"/>
        <v>0</v>
      </c>
      <c r="BG14" s="1198">
        <f>IF(ISNUMBER(Datos!K14/Datos!J14),Datos!K14/Datos!J14," - ")</f>
        <v>0.9494762784966112</v>
      </c>
      <c r="BH14" s="1202">
        <f>IF(ISNUMBER(((Datos!L14/Datos!K14)*11)/factor_trimestre),((Datos!L14/Datos!K14)*11)/factor_trimestre," - ")</f>
        <v>7.8506164828033738</v>
      </c>
      <c r="BI14" s="1198">
        <f>IF(ISNUMBER('Resol  Asuntos'!D14/NºAsuntos!G14),'Resol  Asuntos'!D14/NºAsuntos!G14," - ")</f>
        <v>0.26379269166467639</v>
      </c>
      <c r="BJ14" s="1198" t="str">
        <f>IF(ISNUMBER(Datos!CI14/Datos!CJ14),Datos!CI14/Datos!CJ14," - ")</f>
        <v xml:space="preserve"> - </v>
      </c>
      <c r="BK14" s="1198">
        <f>SUBTOTAL(9,BK8:BK13)</f>
        <v>0</v>
      </c>
      <c r="BL14" s="1198">
        <f>IF(ISNUMBER((I14-AB14+L14)/(F14)),(I14-AB14+L14)/(F14)," - ")</f>
        <v>-1.1599999999999999</v>
      </c>
      <c r="BM14" s="1203">
        <f>SUBTOTAL(9,BM9:BM13)</f>
        <v>0.41021592429072845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504</v>
      </c>
      <c r="C16" s="749" t="str">
        <f>Datos!A16</f>
        <v xml:space="preserve">Jdos. Instrucción                               </v>
      </c>
      <c r="D16" s="750"/>
      <c r="E16" s="1555">
        <f>IF(ISNUMBER(Datos!AQ16),Datos!AQ16," - ")</f>
        <v>4</v>
      </c>
      <c r="F16" s="740">
        <f>IF(ISNUMBER(AF16+AB16-Datos!J16-L16),AF16+AB16-Datos!J16-L16," - ")</f>
        <v>4469</v>
      </c>
      <c r="G16" s="743">
        <f>IF(ISNUMBER(IF(D_I="SI",Datos!I16,Datos!I16+Datos!AC16)),IF(D_I="SI",Datos!I16,Datos!I16+Datos!AC16)," - ")</f>
        <v>5015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10849</v>
      </c>
      <c r="AC16" s="240">
        <f>IF(ISNUMBER(Datos!Q16),Datos!Q16," - ")</f>
        <v>205</v>
      </c>
      <c r="AD16" s="374"/>
      <c r="AE16" s="562"/>
      <c r="AF16" s="741">
        <f>IF(ISNUMBER(IF(D_I="SI",Datos!L16,Datos!L16+Datos!AF16)),IF(D_I="SI",Datos!L16,Datos!L16+Datos!AF16)," - ")</f>
        <v>4153</v>
      </c>
      <c r="AG16" s="374"/>
      <c r="AH16" s="374"/>
      <c r="AI16" s="374"/>
      <c r="AJ16" s="549"/>
      <c r="AK16" s="374"/>
      <c r="AL16" s="545"/>
      <c r="AM16" s="375">
        <f>IF(ISNUMBER(Datos!R16),Datos!R16," - ")</f>
        <v>247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1665</v>
      </c>
      <c r="BD16" s="243">
        <f>IF(ISNUMBER(Datos!N16),Datos!N16," - ")</f>
        <v>6876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1.0300009493971327</v>
      </c>
      <c r="BH16" s="764">
        <f>IF(ISNUMBER(((IF(D_I="SI",Datos!L16/Datos!K16,(Datos!L16+Datos!AF16)/(Datos!K16+Datos!AE16)))*11)/factor_trimestre),((IF(D_I="SI",Datos!L16/Datos!K16,(Datos!L16+Datos!AF16)/(Datos!K16+Datos!AE16)))*11)/factor_trimestre," - ")</f>
        <v>4.2108028389713343</v>
      </c>
      <c r="BI16" s="266">
        <f>IF(ISNUMBER('Resol  Asuntos'!D16/NºAsuntos!G16),'Resol  Asuntos'!D16/NºAsuntos!G16," - ")</f>
        <v>0.15347036593234401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1345</v>
      </c>
      <c r="AC18" s="547">
        <f>IF(ISNUMBER(Datos!Q18),Datos!Q18," - ")</f>
        <v>11</v>
      </c>
      <c r="AD18" s="549"/>
      <c r="AE18" s="562"/>
      <c r="AF18" s="551">
        <f>IF(ISNUMBER(Datos!L18),Datos!L18,"-")</f>
        <v>311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212</v>
      </c>
      <c r="BD18" s="693">
        <f>IF(ISNUMBER(Datos!N18),Datos!N18," - ")</f>
        <v>667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0.99629629629629635</v>
      </c>
      <c r="BH18" s="764">
        <f>IF(ISNUMBER(((IF(D_I="SI",Datos!L18/Datos!K18,(Datos!L18+Datos!AF18)/(Datos!K18+Datos!AE18)))*11)/factor_trimestre),((IF(D_I="SI",Datos!L18/Datos!K18,(Datos!L18+Datos!AF18)/(Datos!K18+Datos!AE18)))*11)/factor_trimestre," - ")</f>
        <v>2.5434944237918216</v>
      </c>
      <c r="BI18" s="763">
        <f>IF(ISNUMBER('Resol  Asuntos'!D18/NºAsuntos!G18),'Resol  Asuntos'!D18/NºAsuntos!G18," - ")</f>
        <v>0.15762081784386617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504</v>
      </c>
      <c r="C21" s="747" t="str">
        <f>Datos!A21</f>
        <v xml:space="preserve">Jdos. de lo Penal                               </v>
      </c>
      <c r="D21" s="601"/>
      <c r="E21" s="1380">
        <f>IF(ISNUMBER(Datos!AQ21),Datos!AQ21," - ")</f>
        <v>2</v>
      </c>
      <c r="F21" s="552">
        <f>IF(ISNUMBER(Datos!L21+Datos!K21-Datos!J21),Datos!L21+Datos!K21-Datos!J21," - ")</f>
        <v>228</v>
      </c>
      <c r="G21" s="543">
        <f>IF(ISNUMBER(Datos!I21),Datos!I21," - ")</f>
        <v>199</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1636</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671</v>
      </c>
      <c r="AC21" s="547">
        <f>IF(ISNUMBER(Datos!Q21),Datos!Q21," - ")</f>
        <v>1755</v>
      </c>
      <c r="AD21" s="549"/>
      <c r="AE21" s="563"/>
      <c r="AF21" s="551">
        <f>IF(ISNUMBER(Datos!L21),Datos!L21,"-")</f>
        <v>323</v>
      </c>
      <c r="AG21" s="549"/>
      <c r="AH21" s="549"/>
      <c r="AI21" s="549"/>
      <c r="AJ21" s="549"/>
      <c r="AK21" s="549"/>
      <c r="AL21" s="550"/>
      <c r="AM21" s="766">
        <f>IF(ISNUMBER(Datos!R21),Datos!R21," - ")</f>
        <v>3274</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624</v>
      </c>
      <c r="BD21" s="693"/>
      <c r="BE21" s="693" t="str">
        <f>IF(ISNUMBER(Datos!BW21),Datos!BW21," - ")</f>
        <v xml:space="preserve"> - </v>
      </c>
      <c r="BF21" s="762" t="str">
        <f>IF(ISNUMBER(Datos!BX21),Datos!BX21," - ")</f>
        <v xml:space="preserve"> - </v>
      </c>
      <c r="BG21" s="763">
        <f>IF(ISNUMBER(Datos!K21/Datos!J21),Datos!K21/Datos!J21," - ")</f>
        <v>0.87597911227154046</v>
      </c>
      <c r="BH21" s="764">
        <f>IF(ISNUMBER(((Datos!L21/Datos!K21)*11)/factor_trimestre),((Datos!L21/Datos!K21)*11)/factor_trimestre," - ")</f>
        <v>5.2950819672131146</v>
      </c>
      <c r="BI21" s="763">
        <f>IF(ISNUMBER('Resol  Asuntos'!D21/NºAsuntos!G21),'Resol  Asuntos'!D21/NºAsuntos!G21," - ")</f>
        <v>0.92995529061102833</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4697</v>
      </c>
      <c r="G23" s="1197">
        <f>SUBTOTAL(9,G16:G22)</f>
        <v>5518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12865</v>
      </c>
      <c r="AC23" s="1198">
        <f t="shared" si="5"/>
        <v>1971</v>
      </c>
      <c r="AD23" s="1198">
        <f t="shared" si="5"/>
        <v>0</v>
      </c>
      <c r="AE23" s="1198">
        <f t="shared" si="5"/>
        <v>0</v>
      </c>
      <c r="AF23" s="1198">
        <f t="shared" si="5"/>
        <v>4787</v>
      </c>
      <c r="AG23" s="1198">
        <f t="shared" si="5"/>
        <v>0</v>
      </c>
      <c r="AH23" s="1198">
        <f t="shared" si="5"/>
        <v>0</v>
      </c>
      <c r="AI23" s="1198">
        <f t="shared" si="5"/>
        <v>0</v>
      </c>
      <c r="AJ23" s="1198">
        <f t="shared" si="5"/>
        <v>0</v>
      </c>
      <c r="AK23" s="1198">
        <f t="shared" si="5"/>
        <v>0</v>
      </c>
      <c r="AL23" s="1198">
        <f t="shared" si="5"/>
        <v>0</v>
      </c>
      <c r="AM23" s="1198">
        <f t="shared" si="5"/>
        <v>3528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2501</v>
      </c>
      <c r="BD23" s="1198">
        <f t="shared" si="5"/>
        <v>7543</v>
      </c>
      <c r="BE23" s="1198">
        <f t="shared" si="5"/>
        <v>0</v>
      </c>
      <c r="BF23" s="1198">
        <f t="shared" si="5"/>
        <v>0</v>
      </c>
      <c r="BG23" s="1198">
        <f>IF(ISNUMBER(Datos!K23/Datos!J23),Datos!K23/Datos!J23," - ")</f>
        <v>1.017076448731125</v>
      </c>
      <c r="BH23" s="1202">
        <f>IF(ISNUMBER(((Datos!L23/Datos!K23)*11)/factor_trimestre),((Datos!L23/Datos!K23)*11)/factor_trimestre," - ")</f>
        <v>4.0930431403031475</v>
      </c>
      <c r="BI23" s="1198">
        <f>SUBTOTAL(9,BI16:BI22)</f>
        <v>1.2410464743872385</v>
      </c>
      <c r="BJ23" s="1198">
        <f>SUBTOTAL(9,BJ16:BJ22)</f>
        <v>0</v>
      </c>
      <c r="BK23" s="1198">
        <f>SUBTOTAL(9,BK16:BK22)</f>
        <v>0</v>
      </c>
      <c r="BL23" s="1198">
        <f>IF(ISNUMBER((I23-AB23+L23)/(F23)),(I23-AB23+L23)/(F23)," - ")</f>
        <v>-2.7389823291462636</v>
      </c>
      <c r="BM23" s="1205">
        <f>IF(ISNUMBER((Datos!P23-Datos!Q23)/(Datos!R23-Datos!P23+Datos!Q23)),(Datos!P23-Datos!Q23)/(Datos!R23-Datos!P23+Datos!Q23)," - ")</f>
        <v>-3.1833150384193196E-2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506</v>
      </c>
      <c r="C28" s="7" t="str">
        <f>Datos!A28</f>
        <v xml:space="preserve">Jdos. de lo Social                              </v>
      </c>
      <c r="D28" s="549"/>
      <c r="E28" s="1380">
        <f>IF(ISNUMBER(Datos!AQ28),Datos!AQ28," - ")</f>
        <v>1</v>
      </c>
      <c r="F28" s="552">
        <f>IF(ISNUMBER(Datos!L28+Datos!K28-Datos!J28),Datos!L28+Datos!K28-Datos!J28," - ")</f>
        <v>544</v>
      </c>
      <c r="G28" s="543">
        <f>IF(ISNUMBER(Datos!I28),Datos!I28," - ")</f>
        <v>562</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170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988</v>
      </c>
      <c r="AC28" s="240">
        <f>IF(ISNUMBER(Datos!Q28),Datos!Q28," - ")</f>
        <v>219</v>
      </c>
      <c r="AD28" s="374"/>
      <c r="AE28" s="562"/>
      <c r="AF28" s="372">
        <f>IF(ISNUMBER(Datos!L28),Datos!L28,"-")</f>
        <v>715</v>
      </c>
      <c r="AG28" s="549"/>
      <c r="AH28" s="374"/>
      <c r="AI28" s="374"/>
      <c r="AJ28" s="549"/>
      <c r="AK28" s="549"/>
      <c r="AL28" s="550"/>
      <c r="AM28" s="375">
        <f>IF(ISNUMBER(Datos!R28),Datos!R28," - ")</f>
        <v>95</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393</v>
      </c>
      <c r="BD28" s="239">
        <f>IF(ISNUMBER(Datos!N28),Datos!N28," - ")</f>
        <v>186</v>
      </c>
      <c r="BE28" s="245" t="str">
        <f>IF(ISNUMBER(Datos!BW28),Datos!BW28," - ")</f>
        <v xml:space="preserve"> - </v>
      </c>
      <c r="BF28" s="246" t="str">
        <f>IF(ISNUMBER(Datos!BX28),Datos!BX28," - ")</f>
        <v xml:space="preserve"> - </v>
      </c>
      <c r="BG28" s="763">
        <f>IF(ISNUMBER(Datos!K28/Datos!J28),Datos!K28/Datos!J28," - ")</f>
        <v>0.85245901639344257</v>
      </c>
      <c r="BH28" s="764">
        <f>IF(ISNUMBER(((Datos!L28/Datos!K28)*11)/factor_trimestre),((Datos!L28/Datos!K28)*11)/factor_trimestre," - ")</f>
        <v>7.9605263157894743</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544</v>
      </c>
      <c r="G30" s="1197">
        <f t="shared" si="13"/>
        <v>562</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170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988</v>
      </c>
      <c r="AC30" s="1198">
        <f t="shared" si="15"/>
        <v>219</v>
      </c>
      <c r="AD30" s="1198">
        <f t="shared" si="15"/>
        <v>0</v>
      </c>
      <c r="AE30" s="1198">
        <f t="shared" si="15"/>
        <v>0</v>
      </c>
      <c r="AF30" s="1199">
        <f t="shared" si="15"/>
        <v>715</v>
      </c>
      <c r="AG30" s="1199">
        <f t="shared" si="15"/>
        <v>0</v>
      </c>
      <c r="AH30" s="1199">
        <f t="shared" si="15"/>
        <v>0</v>
      </c>
      <c r="AI30" s="1199">
        <f t="shared" si="15"/>
        <v>0</v>
      </c>
      <c r="AJ30" s="1198">
        <f t="shared" si="15"/>
        <v>0</v>
      </c>
      <c r="AK30" s="1199">
        <f t="shared" si="15"/>
        <v>0</v>
      </c>
      <c r="AL30" s="1199"/>
      <c r="AM30" s="1199">
        <f t="shared" ref="AM30:AV30" si="16">SUBTOTAL(9,AM28:AM29)</f>
        <v>95</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393</v>
      </c>
      <c r="BD30" s="1211"/>
      <c r="BE30" s="1198">
        <f>SUBTOTAL(9,BE28:BE29)</f>
        <v>0</v>
      </c>
      <c r="BF30" s="1207">
        <f>SUBTOTAL(9,BF28:BF29)</f>
        <v>0</v>
      </c>
      <c r="BG30" s="1198">
        <f>IF(ISNUMBER(Datos!K30/Datos!J30),Datos!K30/Datos!J30," - ")</f>
        <v>0.85245901639344257</v>
      </c>
      <c r="BH30" s="1202">
        <f>IF(ISNUMBER(((Datos!L30/Datos!K30)*11)/factor_trimestre),((Datos!L30/Datos!K30)*11)/factor_trimestre," - ")</f>
        <v>7.9605263157894743</v>
      </c>
      <c r="BI30" s="1203"/>
      <c r="BJ30" s="1203">
        <f>IF(ISNUMBER(BL30/BM30),BL30/BM30," - ")</f>
        <v>5.3373349339735894</v>
      </c>
      <c r="BK30" s="1196">
        <f>SUBTOTAL(9,BK28:BK29)</f>
        <v>0</v>
      </c>
      <c r="BL30" s="1198">
        <f t="shared" si="12"/>
        <v>-1.8161764705882353</v>
      </c>
      <c r="BM30" s="1205">
        <f>IF(ISNUMBER((Datos!P30-Datos!Q30)/(Datos!R30-Datos!P30+Datos!Q30)),(Datos!P30-Datos!Q30)/(Datos!R30-Datos!P30+Datos!Q30)," - ")</f>
        <v>-0.34027777777777779</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5316</v>
      </c>
      <c r="G31" s="1117">
        <f t="shared" si="18"/>
        <v>6155</v>
      </c>
      <c r="H31" s="1119">
        <f t="shared" si="18"/>
        <v>0</v>
      </c>
      <c r="I31" s="1117">
        <f t="shared" si="18"/>
        <v>0</v>
      </c>
      <c r="J31" s="1119">
        <f t="shared" si="18"/>
        <v>0</v>
      </c>
      <c r="K31" s="1119">
        <f t="shared" si="18"/>
        <v>0</v>
      </c>
      <c r="L31" s="1180">
        <f t="shared" si="18"/>
        <v>0</v>
      </c>
      <c r="M31" s="1180">
        <f t="shared" si="18"/>
        <v>0</v>
      </c>
      <c r="N31" s="1180">
        <f t="shared" si="18"/>
        <v>625</v>
      </c>
      <c r="O31" s="1180">
        <f t="shared" si="18"/>
        <v>0</v>
      </c>
      <c r="P31" s="1180">
        <f t="shared" si="18"/>
        <v>0</v>
      </c>
      <c r="Q31" s="1119">
        <f t="shared" si="18"/>
        <v>3932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13940</v>
      </c>
      <c r="AC31" s="1118">
        <f t="shared" si="19"/>
        <v>3756</v>
      </c>
      <c r="AD31" s="1118">
        <f t="shared" si="19"/>
        <v>0</v>
      </c>
      <c r="AE31" s="1118">
        <f t="shared" si="19"/>
        <v>0</v>
      </c>
      <c r="AF31" s="1125">
        <f t="shared" si="19"/>
        <v>5617</v>
      </c>
      <c r="AG31" s="1125">
        <f t="shared" si="19"/>
        <v>0</v>
      </c>
      <c r="AH31" s="1125">
        <f t="shared" si="19"/>
        <v>184</v>
      </c>
      <c r="AI31" s="1125">
        <f t="shared" si="19"/>
        <v>0</v>
      </c>
      <c r="AJ31" s="1118">
        <f t="shared" si="19"/>
        <v>0</v>
      </c>
      <c r="AK31" s="1125">
        <f t="shared" si="19"/>
        <v>0</v>
      </c>
      <c r="AL31" s="1125">
        <f t="shared" si="19"/>
        <v>0</v>
      </c>
      <c r="AM31" s="1125">
        <f t="shared" si="19"/>
        <v>9830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5103</v>
      </c>
      <c r="BD31" s="1117">
        <f t="shared" si="19"/>
        <v>10110</v>
      </c>
      <c r="BE31" s="1117">
        <f t="shared" si="19"/>
        <v>0</v>
      </c>
      <c r="BF31" s="1127">
        <f t="shared" si="19"/>
        <v>0</v>
      </c>
      <c r="BG31" s="1223">
        <f>IF(ISNUMBER(Datos!K31/Datos!J31),Datos!K31/Datos!J31," - ")</f>
        <v>0.98335081877480268</v>
      </c>
      <c r="BH31" s="1223">
        <f>IF(ISNUMBER(((Datos!L31/Datos!K31)*11)/factor_trimestre),((Datos!L31/Datos!K31)*11)/factor_trimestre," - ")</f>
        <v>5.6132758140829386</v>
      </c>
      <c r="BI31" s="1103">
        <f>IF(ISNUMBER(Datos!J31/Datos!I31),Datos!J31/Datos!I31," - ")</f>
        <v>1.920711407043981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-2.6222723852520691</v>
      </c>
      <c r="BM31" s="1188">
        <f>IF(ISNUMBER((Datos!P31-Datos!Q31+R31)/(Datos!R31-Datos!P31+Datos!Q31-R31)),(Datos!P31-Datos!Q31+R31)/(Datos!R31-Datos!P31+Datos!Q31-R31)," - ")</f>
        <v>1.823078516677025E-2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1367.7777777777778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2.2698120590977857</v>
      </c>
      <c r="F33" s="673">
        <f>IF(ISNUMBER(STDEV(F8:F30)),STDEV(F8:F30),"-")</f>
        <v>2019.8637860721485</v>
      </c>
      <c r="G33" s="674">
        <f>IF(ISNUMBER(STDEV(G8:G30)),STDEV(G8:G30),"-")</f>
        <v>2223.0654386329802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5013.3530889460044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996.90088663707081</v>
      </c>
      <c r="BD33" s="673"/>
      <c r="BE33" s="673">
        <f>IF(ISNUMBER(STDEV(BE8:BE30)),STDEV(BE8:BE30),"-")</f>
        <v>0</v>
      </c>
      <c r="BF33" s="678">
        <f>IF(ISNUMBER(STDEV(BF8:BF30)),STDEV(BF8:BF30),"-")</f>
        <v>0</v>
      </c>
      <c r="BG33" s="1052">
        <f>IF(ISNUMBER(STDEV(BG8:BG30)),STDEV(BG8:BG30),"-")</f>
        <v>0.10947086452676118</v>
      </c>
      <c r="BH33" s="1058">
        <f>IF(ISNUMBER(STDEV(BH8:BH30)),STDEV(BH8:BH30),"-")</f>
        <v>3.5075922855216417</v>
      </c>
      <c r="BI33" s="273">
        <f>IF(ISNUMBER(STDEV(BI8:BI30)),STDEV(BI8:BI30),"-")</f>
        <v>0.50374092142273896</v>
      </c>
      <c r="BJ33" s="244" t="str">
        <f>IF(ISNUMBER(BL33/BM33),BL33/BM33," - ")</f>
        <v xml:space="preserve"> - </v>
      </c>
      <c r="BK33" s="709"/>
      <c r="BL33" s="681">
        <f>IF(ISNUMBER(STDEV(BL8:BL30)),STDEV(BL8:BL30),"-")</f>
        <v>0.7932342454469562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pkKtpQuelcsTSG99bcuQvSjKN57kSLtpEBJ6chQTrS8mCXFU9+P5I1oq1WILL41QTY26Bq5zxHPSEFgVBSzgw==" saltValue="iJWgqHSrSKWODP2Vfee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EIVISSA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1887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1552</v>
      </c>
      <c r="AA9" s="551" t="str">
        <f>IF(ISNUMBER(IF(J_V="SI",Datos!L9,Datos!L9+Datos!AB9)-IF(Monitorios="SI",Datos!CD9,0)),
                          IF(J_V="SI",Datos!L9,Datos!L9+Datos!AB9)-IF(Monitorios="SI",Datos!CD9,0),
                          " - ")</f>
        <v xml:space="preserve"> - </v>
      </c>
      <c r="AB9" s="549"/>
      <c r="AC9" s="549"/>
      <c r="AD9" s="563"/>
      <c r="AE9" s="563">
        <f>IF(ISNUMBER(Datos!R9),Datos!R9," - ")</f>
        <v>6184</v>
      </c>
      <c r="AF9" s="693" t="str">
        <f>IF(ISNUMBER(Datos!BV9),Datos!BV9," - ")</f>
        <v xml:space="preserve"> - </v>
      </c>
      <c r="AG9" s="552" t="str">
        <f>IF(ISNUMBER(Datos!DV9),Datos!DV9," - ")</f>
        <v xml:space="preserve"> - </v>
      </c>
      <c r="AH9" s="553"/>
      <c r="AI9" s="554"/>
      <c r="AJ9" s="552">
        <f>IF(ISNUMBER(Datos!M9),Datos!M9," - ")</f>
        <v>2170</v>
      </c>
      <c r="AK9" s="693">
        <f>IF(ISNUMBER(Datos!N9),Datos!N9," - ")</f>
        <v>2347</v>
      </c>
      <c r="AL9" s="693" t="str">
        <f>IF(ISNUMBER(Datos!BW9),Datos!BW9," - ")</f>
        <v xml:space="preserve"> - </v>
      </c>
      <c r="AM9" s="762" t="str">
        <f>IF(ISNUMBER(Datos!BX9),Datos!BX9," - ")</f>
        <v xml:space="preserve"> - </v>
      </c>
      <c r="AN9" s="763"/>
      <c r="AO9" s="764">
        <f>IF(ISNUMBER(((NºAsuntos!I9/NºAsuntos!G9)*11)/factor_trimestre),((NºAsuntos!I9/NºAsuntos!G9)*11)/factor_trimestre," - ")</f>
        <v>7.3908531434777363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5.7274747820140193E-2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75</v>
      </c>
      <c r="G10" s="552">
        <f>IF(ISNUMBER(Datos!I10),Datos!I10," - ")</f>
        <v>75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87</v>
      </c>
      <c r="Z10" s="805">
        <f>IF(ISNUMBER(Datos!Q10),Datos!Q10," - ")</f>
        <v>14</v>
      </c>
      <c r="AA10" s="551">
        <f>IF(ISNUMBER(Datos!L10),Datos!L10,"-")</f>
        <v>115</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39</v>
      </c>
      <c r="AK10" s="693">
        <f>IF(ISNUMBER(Datos!N10),Datos!N10," - ")</f>
        <v>34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14.540229885057471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0.35294117647058826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75</v>
      </c>
      <c r="G14" s="1197">
        <f>SUBTOTAL(9,G8:G13)</f>
        <v>75</v>
      </c>
      <c r="H14" s="1211"/>
      <c r="I14" s="1197">
        <f t="shared" ref="I14:N14" si="1">SUBTOTAL(9,I8:I13)</f>
        <v>0</v>
      </c>
      <c r="J14" s="1164">
        <f t="shared" si="1"/>
        <v>0</v>
      </c>
      <c r="K14" s="1211">
        <f t="shared" si="1"/>
        <v>0</v>
      </c>
      <c r="L14" s="1211">
        <f t="shared" si="1"/>
        <v>0</v>
      </c>
      <c r="M14" s="1211">
        <f t="shared" si="1"/>
        <v>0</v>
      </c>
      <c r="N14" s="1211">
        <f t="shared" si="1"/>
        <v>1907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87</v>
      </c>
      <c r="Z14" s="1210">
        <f t="shared" si="3"/>
        <v>1566</v>
      </c>
      <c r="AA14" s="1199">
        <f t="shared" si="3"/>
        <v>115</v>
      </c>
      <c r="AB14" s="1199">
        <f t="shared" si="3"/>
        <v>0</v>
      </c>
      <c r="AC14" s="1199">
        <f t="shared" si="3"/>
        <v>0</v>
      </c>
      <c r="AD14" s="1199">
        <f t="shared" si="3"/>
        <v>0</v>
      </c>
      <c r="AE14" s="1199">
        <f t="shared" si="3"/>
        <v>6207</v>
      </c>
      <c r="AF14" s="1211">
        <f t="shared" si="3"/>
        <v>0</v>
      </c>
      <c r="AG14" s="1211">
        <f t="shared" si="3"/>
        <v>0</v>
      </c>
      <c r="AH14" s="1211">
        <f t="shared" si="3"/>
        <v>0</v>
      </c>
      <c r="AI14" s="1211">
        <f t="shared" si="3"/>
        <v>0</v>
      </c>
      <c r="AJ14" s="1211">
        <f t="shared" si="3"/>
        <v>2209</v>
      </c>
      <c r="AK14" s="1211">
        <f t="shared" si="3"/>
        <v>2381</v>
      </c>
      <c r="AL14" s="1211">
        <f t="shared" si="3"/>
        <v>0</v>
      </c>
      <c r="AM14" s="1211">
        <f t="shared" si="3"/>
        <v>0</v>
      </c>
      <c r="AN14" s="1211">
        <f t="shared" si="3"/>
        <v>0</v>
      </c>
      <c r="AO14" s="1203">
        <f>IF(ISNUMBER(((NºAsuntos!I14/NºAsuntos!G14)*11)/factor_trimestre),((NºAsuntos!I14/NºAsuntos!G14)*11)/factor_trimestre," - ")</f>
        <v>7.4651301647957968</v>
      </c>
      <c r="AP14" s="1213" t="str">
        <f>IF(ISNUMBER(Datos!CI14/Datos!CJ14),Datos!CI14/Datos!CJ14," - ")</f>
        <v xml:space="preserve"> - </v>
      </c>
      <c r="AQ14" s="1236">
        <f t="shared" ref="AQ14:AV14" si="4">SUBTOTAL(9,AQ9:AQ13)</f>
        <v>0</v>
      </c>
      <c r="AR14" s="1236">
        <f t="shared" si="4"/>
        <v>0.41021592429072845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504</v>
      </c>
      <c r="C16" s="765" t="str">
        <f>Datos!A16</f>
        <v xml:space="preserve">Jdos. Instrucción                               </v>
      </c>
      <c r="D16" s="593"/>
      <c r="E16" s="1558">
        <f>IF(ISNUMBER(Datos!AQ16),Datos!AQ16," - ")</f>
        <v>4</v>
      </c>
      <c r="F16" s="543">
        <f>IF(ISNUMBER(AA16+Y16-Datos!J16-K16),AA16+Y16-Datos!J16-K16," - ")</f>
        <v>4469</v>
      </c>
      <c r="G16" s="552">
        <f>IF(ISNUMBER(IF(D_I="SI",Datos!I16,Datos!I16+Datos!AC16)),IF(D_I="SI",Datos!I16,Datos!I16+Datos!AC16)," - ")</f>
        <v>5015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10849</v>
      </c>
      <c r="Z16" s="805">
        <f>IF(ISNUMBER(Datos!Q16),Datos!Q16," - ")</f>
        <v>205</v>
      </c>
      <c r="AA16" s="551">
        <f>IF(ISNUMBER(IF(D_I="SI",Datos!L16,Datos!L16+Datos!AF16)),IF(D_I="SI",Datos!L16,Datos!L16+Datos!AF16)," - ")</f>
        <v>4153</v>
      </c>
      <c r="AB16" s="549"/>
      <c r="AC16" s="549"/>
      <c r="AD16" s="563"/>
      <c r="AE16" s="563">
        <f>IF(ISNUMBER(Datos!R16),Datos!R16," - ")</f>
        <v>247</v>
      </c>
      <c r="AF16" s="693" t="str">
        <f>IF(ISNUMBER(Datos!BV16),Datos!BV16," - ")</f>
        <v xml:space="preserve"> - </v>
      </c>
      <c r="AG16" s="552"/>
      <c r="AH16" s="553"/>
      <c r="AI16" s="554"/>
      <c r="AJ16" s="552">
        <f>IF(ISNUMBER(Datos!M16),Datos!M16," - ")</f>
        <v>1665</v>
      </c>
      <c r="AK16" s="693">
        <f>IF(ISNUMBER(Datos!N16),Datos!N16," - ")</f>
        <v>6876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4.2108028389713343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1345</v>
      </c>
      <c r="Z18" s="805">
        <f>IF(ISNUMBER(Datos!Q18),Datos!Q18," - ")</f>
        <v>11</v>
      </c>
      <c r="AA18" s="551">
        <f>IF(ISNUMBER(Datos!L18),Datos!L18,"-")</f>
        <v>311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212</v>
      </c>
      <c r="AK18" s="693">
        <f>IF(ISNUMBER(Datos!N18),Datos!N18," - ")</f>
        <v>667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2.5434944237918216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504</v>
      </c>
      <c r="C21" s="747" t="str">
        <f>Datos!A21</f>
        <v xml:space="preserve">Jdos. de lo Penal                               </v>
      </c>
      <c r="D21" s="601"/>
      <c r="E21" s="1558">
        <f>IF(ISNUMBER(Datos!AQ21),Datos!AQ21," - ")</f>
        <v>2</v>
      </c>
      <c r="F21" s="552">
        <f>IF(ISNUMBER(Datos!L21+Datos!K21-Datos!J21),Datos!L21+Datos!K21-Datos!J21," - ")</f>
        <v>228</v>
      </c>
      <c r="G21" s="552">
        <f>IF(ISNUMBER(Datos!I21),Datos!I21," - ")</f>
        <v>199</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1636</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671</v>
      </c>
      <c r="Z21" s="805">
        <f>IF(ISNUMBER(Datos!Q21),Datos!Q21," - ")</f>
        <v>1755</v>
      </c>
      <c r="AA21" s="551">
        <f>IF(ISNUMBER(Datos!L21),Datos!L21,"-")</f>
        <v>323</v>
      </c>
      <c r="AB21" s="549"/>
      <c r="AC21" s="549"/>
      <c r="AD21" s="563"/>
      <c r="AE21" s="563">
        <f>IF(ISNUMBER(Datos!R21),Datos!R21," - ")</f>
        <v>3274</v>
      </c>
      <c r="AF21" s="693" t="str">
        <f>IF(ISNUMBER(Datos!BV21),Datos!BV21," - ")</f>
        <v xml:space="preserve"> - </v>
      </c>
      <c r="AG21" s="552"/>
      <c r="AH21" s="553"/>
      <c r="AI21" s="554"/>
      <c r="AJ21" s="552">
        <f>IF(ISNUMBER(Datos!M21),Datos!M21," - ")</f>
        <v>624</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5.2950819672131146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4697</v>
      </c>
      <c r="G23" s="1197">
        <f>SUBTOTAL(9,G16:G22)</f>
        <v>5518</v>
      </c>
      <c r="H23" s="1240">
        <f>SUBTOTAL(9,H16:H22)</f>
        <v>0</v>
      </c>
      <c r="I23" s="1217">
        <f>SUBTOTAL(9,I16:I22)</f>
        <v>0</v>
      </c>
      <c r="J23" s="1164">
        <f>SUBTOTAL(9,J15:J22)</f>
        <v>0</v>
      </c>
      <c r="K23" s="1240">
        <f t="shared" ref="K23:S23" si="5">SUBTOTAL(9,K16:K22)</f>
        <v>0</v>
      </c>
      <c r="L23" s="1240">
        <f t="shared" si="5"/>
        <v>0</v>
      </c>
      <c r="M23" s="1240">
        <f t="shared" si="5"/>
        <v>0</v>
      </c>
      <c r="N23" s="1240">
        <f t="shared" si="5"/>
        <v>1855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12865</v>
      </c>
      <c r="Z23" s="1240">
        <f t="shared" si="6"/>
        <v>1971</v>
      </c>
      <c r="AA23" s="1240">
        <f t="shared" si="6"/>
        <v>4787</v>
      </c>
      <c r="AB23" s="1240">
        <f t="shared" si="6"/>
        <v>0</v>
      </c>
      <c r="AC23" s="1240">
        <f t="shared" si="6"/>
        <v>0</v>
      </c>
      <c r="AD23" s="1240">
        <f t="shared" si="6"/>
        <v>0</v>
      </c>
      <c r="AE23" s="1240">
        <f t="shared" si="6"/>
        <v>3528</v>
      </c>
      <c r="AF23" s="1240">
        <f t="shared" si="6"/>
        <v>0</v>
      </c>
      <c r="AG23" s="1240">
        <f t="shared" si="6"/>
        <v>0</v>
      </c>
      <c r="AH23" s="1240">
        <f t="shared" si="6"/>
        <v>0</v>
      </c>
      <c r="AI23" s="1240">
        <f t="shared" si="6"/>
        <v>0</v>
      </c>
      <c r="AJ23" s="1240">
        <f t="shared" si="6"/>
        <v>2501</v>
      </c>
      <c r="AK23" s="1240">
        <f t="shared" si="6"/>
        <v>7543</v>
      </c>
      <c r="AL23" s="1240">
        <f t="shared" si="6"/>
        <v>0</v>
      </c>
      <c r="AM23" s="1240">
        <f t="shared" si="6"/>
        <v>0</v>
      </c>
      <c r="AN23" s="1240">
        <f t="shared" si="6"/>
        <v>0</v>
      </c>
      <c r="AO23" s="1242">
        <f>IF(ISNUMBER(((NºAsuntos!I23/NºAsuntos!G23)*11)/factor_trimestre),((NºAsuntos!I23/NºAsuntos!G23)*11)/factor_trimestre," - ")</f>
        <v>4.0930431403031475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506</v>
      </c>
      <c r="C28" s="7" t="str">
        <f>Datos!A28</f>
        <v xml:space="preserve">Jdos. de lo Social                              </v>
      </c>
      <c r="D28" s="562"/>
      <c r="E28" s="1380">
        <f>IF(ISNUMBER(Datos!AQ28),Datos!AQ28," - ")</f>
        <v>1</v>
      </c>
      <c r="F28" s="552">
        <f>IF(ISNUMBER(Datos!L28+Datos!K28-Datos!J28),Datos!L28+Datos!K28-Datos!J28," - ")</f>
        <v>544</v>
      </c>
      <c r="G28" s="552">
        <f>IF(ISNUMBER(Datos!I28),Datos!I28," - ")</f>
        <v>562</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170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715</v>
      </c>
      <c r="AB28" s="549"/>
      <c r="AC28" s="549"/>
      <c r="AD28" s="563"/>
      <c r="AE28" s="563">
        <f>IF(ISNUMBER(Datos!R28),Datos!R28," - ")</f>
        <v>95</v>
      </c>
      <c r="AF28" s="243" t="str">
        <f>IF(ISNUMBER(Datos!BV28),Datos!BV28," - ")</f>
        <v xml:space="preserve"> - </v>
      </c>
      <c r="AG28" s="552"/>
      <c r="AH28" s="553"/>
      <c r="AI28" s="554"/>
      <c r="AJ28" s="239">
        <f>IF(ISNUMBER(Datos!M28),Datos!M28," - ")</f>
        <v>393</v>
      </c>
      <c r="AK28" s="245">
        <f>IF(ISNUMBER(Datos!N28),Datos!N28," - ")</f>
        <v>186</v>
      </c>
      <c r="AL28" s="245" t="str">
        <f>IF(ISNUMBER(Datos!BW28),Datos!BW28," - ")</f>
        <v xml:space="preserve"> - </v>
      </c>
      <c r="AM28" s="246" t="str">
        <f>IF(ISNUMBER(Datos!BX28),Datos!BX28," - ")</f>
        <v xml:space="preserve"> - </v>
      </c>
      <c r="AN28" s="404"/>
      <c r="AO28" s="405">
        <f>IF(ISNUMBER(((Datos!L28/Datos!K28)*11)/factor_trimestre),((Datos!L28/Datos!K28)*11)/factor_trimestre," - ")</f>
        <v>7.9605263157894743</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544</v>
      </c>
      <c r="G30" s="1197">
        <f t="shared" si="10"/>
        <v>562</v>
      </c>
      <c r="H30" s="1211">
        <f t="shared" si="10"/>
        <v>0</v>
      </c>
      <c r="I30" s="1197">
        <f t="shared" si="10"/>
        <v>0</v>
      </c>
      <c r="J30" s="1167">
        <f t="shared" si="10"/>
        <v>0</v>
      </c>
      <c r="K30" s="1197">
        <f t="shared" si="10"/>
        <v>0</v>
      </c>
      <c r="L30" s="1197">
        <f t="shared" si="10"/>
        <v>0</v>
      </c>
      <c r="M30" s="1197">
        <f t="shared" si="10"/>
        <v>0</v>
      </c>
      <c r="N30" s="1197">
        <f t="shared" si="10"/>
        <v>170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715</v>
      </c>
      <c r="AB30" s="1199">
        <f t="shared" si="11"/>
        <v>0</v>
      </c>
      <c r="AC30" s="1199">
        <f t="shared" si="11"/>
        <v>0</v>
      </c>
      <c r="AD30" s="1210">
        <f t="shared" si="11"/>
        <v>0</v>
      </c>
      <c r="AE30" s="1210">
        <f t="shared" si="11"/>
        <v>95</v>
      </c>
      <c r="AF30" s="1211">
        <f t="shared" si="11"/>
        <v>0</v>
      </c>
      <c r="AG30" s="1197">
        <f t="shared" si="11"/>
        <v>0</v>
      </c>
      <c r="AH30" s="1212">
        <f t="shared" si="11"/>
        <v>0</v>
      </c>
      <c r="AI30" s="1207">
        <f t="shared" si="11"/>
        <v>0</v>
      </c>
      <c r="AJ30" s="1197">
        <f t="shared" si="11"/>
        <v>393</v>
      </c>
      <c r="AK30" s="1211">
        <f t="shared" si="11"/>
        <v>186</v>
      </c>
      <c r="AL30" s="1198">
        <f t="shared" si="11"/>
        <v>0</v>
      </c>
      <c r="AM30" s="1207">
        <f t="shared" si="11"/>
        <v>0</v>
      </c>
      <c r="AN30" s="1203">
        <f>IF(ISNUMBER(NºAsuntos!G30/NºAsuntos!E30),NºAsuntos!G30/NºAsuntos!E30," - ")</f>
        <v>0.85245901639344257</v>
      </c>
      <c r="AO30" s="1219">
        <f>IF(ISNUMBER(((Datos!L30/Datos!K30)*11)/factor_trimestre),((Datos!L30/Datos!K30)*11)/factor_trimestre," - ")</f>
        <v>7.9605263157894743</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5316</v>
      </c>
      <c r="G31" s="1117">
        <f t="shared" si="12"/>
        <v>6155</v>
      </c>
      <c r="H31" s="1118">
        <f t="shared" si="12"/>
        <v>0</v>
      </c>
      <c r="I31" s="1117">
        <f t="shared" si="12"/>
        <v>0</v>
      </c>
      <c r="J31" s="1119">
        <f t="shared" si="12"/>
        <v>0</v>
      </c>
      <c r="K31" s="1117">
        <f t="shared" si="12"/>
        <v>0</v>
      </c>
      <c r="L31" s="1120">
        <f t="shared" si="12"/>
        <v>0</v>
      </c>
      <c r="M31" s="1117">
        <f t="shared" si="12"/>
        <v>0</v>
      </c>
      <c r="N31" s="1118">
        <f t="shared" si="12"/>
        <v>3932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12952</v>
      </c>
      <c r="Z31" s="1124">
        <f t="shared" si="13"/>
        <v>3537</v>
      </c>
      <c r="AA31" s="1125">
        <f t="shared" si="13"/>
        <v>5617</v>
      </c>
      <c r="AB31" s="1125">
        <f t="shared" si="13"/>
        <v>0</v>
      </c>
      <c r="AC31" s="1125">
        <f t="shared" si="13"/>
        <v>0</v>
      </c>
      <c r="AD31" s="1126">
        <f t="shared" si="13"/>
        <v>0</v>
      </c>
      <c r="AE31" s="1126">
        <f t="shared" si="13"/>
        <v>9830</v>
      </c>
      <c r="AF31" s="1127">
        <f t="shared" si="13"/>
        <v>0</v>
      </c>
      <c r="AG31" s="1128">
        <f t="shared" si="13"/>
        <v>0</v>
      </c>
      <c r="AH31" s="1129">
        <f t="shared" si="13"/>
        <v>0</v>
      </c>
      <c r="AI31" s="1127">
        <f t="shared" si="13"/>
        <v>0</v>
      </c>
      <c r="AJ31" s="1117">
        <f t="shared" si="13"/>
        <v>5103</v>
      </c>
      <c r="AK31" s="1117">
        <f t="shared" si="13"/>
        <v>10110</v>
      </c>
      <c r="AL31" s="1117">
        <f t="shared" si="13"/>
        <v>0</v>
      </c>
      <c r="AM31" s="1130">
        <f t="shared" si="13"/>
        <v>0</v>
      </c>
      <c r="AN31" s="1120">
        <f>IF(ISNUMBER(Datos!K31/Datos!J31),Datos!K31/Datos!J31," - ")</f>
        <v>0.98335081877480268</v>
      </c>
      <c r="AO31" s="1120">
        <f>IF(ISNUMBER(FIND("06",Criterios!A8,1)),(IF(ISNUMBER(((Datos!R31/Datos!Q31)*11)/factor_trimestre),((Datos!R31/Datos!Q31)*11)/factor_trimestre," - ")),(IF(ISNUMBER(((Datos!L31/Datos!K31)*11)/factor_trimestre),((Datos!L31/Datos!K31)*11)/factor_trimestre," - ")))</f>
        <v>5.6132758140829386</v>
      </c>
      <c r="AP31" s="1131" t="str">
        <f>IF(ISNUMBER(Datos!CI31/Datos!CJ31),Datos!CI31/Datos!CJ31," - ")</f>
        <v xml:space="preserve"> - </v>
      </c>
      <c r="AQ31" s="1131">
        <f>IF(OR(ISNUMBER(FIND("01",Criterios!A8,1)),ISNUMBER(FIND("02",Criterios!A8,1)),ISNUMBER(FIND("03",Criterios!A8,1)),ISNUMBER(FIND("04",Criterios!A8,1))),(J31-Y31+K31)/(F31-K31),(I31-Y31+K31)/(F31-K31))</f>
        <v>-2.4364183596689242</v>
      </c>
      <c r="AR31" s="1131">
        <f>IF(ISNUMBER((Datos!P31-Datos!Q31+O31)/(Datos!R31-Datos!P31+Datos!Q31-O31)),(Datos!P31-Datos!Q31+O31)/(Datos!R31-Datos!P31+Datos!Q31-O31)," - ")</f>
        <v>1.823078516677025E-2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1367.7777777777778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2019.8637860721485</v>
      </c>
      <c r="G33" s="674">
        <f>IF(ISNUMBER(STDEV(G8:G30)),STDEV(G8:G30),"-")</f>
        <v>2223.0654386329802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996.90088663707081</v>
      </c>
      <c r="AK33" s="276"/>
      <c r="AL33" s="276">
        <f>IF(ISNUMBER(STDEV(AL8:AL30)),STDEV(AL8:AL30),"-")</f>
        <v>0</v>
      </c>
      <c r="AM33" s="278">
        <f>IF(ISNUMBER(STDEV(AM8:AM30)),STDEV(AM8:AM30),"-")</f>
        <v>0</v>
      </c>
      <c r="AN33" s="660">
        <f>IF(ISNUMBER(STDEV(AN8:AN30)),STDEV(AN8:AN30),"-")</f>
        <v>0.49216744258787765</v>
      </c>
      <c r="AO33" s="661">
        <f>IF(ISNUMBER(STDEV(AO8:AO30)),STDEV(AO8:AO30),"-")</f>
        <v>3.4964801798417251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RXYA7jEeKnexsw8Cu1CC4JzzhAKyXXip/F/k3RvsgYmWT5BzEJ5ZLeBpeJYmvtcYaHkhrV7yFedNUfhlZSJbA==" saltValue="xVDJbIh06m5Axvljn5j6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OIir9NouXAFNyezdxB1qiTgOlujpGCOoIXduxQmKjud65nMSceB1HPF69iY/I4xX7ewwgmnERwVhRUhQ9V9nIg==" saltValue="OxdFVKf0ol9bHRW2Wnse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Ga1MF392SBxe3E/zCcYGxfM3ckSsl1n1wqVpj1CDGFkHptx4FZS9HxzoEGVJnRMR8Va8tTUQF12T6nPVuHzUFg==" saltValue="oA6z3PkvpwubPpvdB59T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EIVISSA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0.26379269166467639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0.18652960110354475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NUSQwk+/ATqFj4XJnuxiYA2lXs35hDmAPezfQ1VWqANoaP2g2XFPtkS4X2ouYlCe136I3aVVIRmwAV9GXZlyg==" saltValue="3l9hVxeH90M3TwWUBD8b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2xIpvu/uiYoQCxRsGP7rQd42VlWwSr6ViSwqZYy59vyJ+JPPWbquk9AS5DVpSZNjLeApLVcuOWdzfXVrch0GXg==" saltValue="2TIkp1Pbyl+30VJyoZ/T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156</v>
      </c>
      <c r="B3" s="439" t="str">
        <f>Criterios!A10 &amp;"  "&amp;Criterios!B10</f>
        <v>Provincias  ILLES BALEARS</v>
      </c>
      <c r="D3" s="436"/>
      <c r="E3" s="436"/>
      <c r="F3" s="436"/>
    </row>
    <row r="4" spans="1:14" ht="13.5" thickBot="1">
      <c r="A4" s="436"/>
      <c r="B4" s="439" t="str">
        <f>Criterios!A11 &amp;"  "&amp;Criterios!B11</f>
        <v>Resumenes por Partidos Judiciales  EIVISSA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5487</v>
      </c>
      <c r="D9" s="452">
        <f>IF(ISNUMBER(C9/Datos!BH9),C9/Datos!BH9," - ")</f>
        <v>1097.4000000000001</v>
      </c>
      <c r="E9" s="451">
        <f>IF(ISNUMBER(IF(J_V="SI",Datos!J9,Datos!J9+Datos!Z9)),IF(J_V="SI",Datos!J9,Datos!J9+Datos!Z9)," - ")</f>
        <v>8613</v>
      </c>
      <c r="F9" s="452">
        <f>IF(ISNUMBER(E9/B9),E9/B9," - ")</f>
        <v>1722.6</v>
      </c>
      <c r="G9" s="451">
        <f>IF(ISNUMBER(IF(J_V="SI",Datos!K9,Datos!K9+Datos!AA9)),IF(J_V="SI",Datos!K9,Datos!K9+Datos!AA9)," - ")</f>
        <v>8287</v>
      </c>
      <c r="H9" s="452">
        <f>IF(ISNUMBER(G9/B9),G9/B9," - ")</f>
        <v>1657.4</v>
      </c>
      <c r="I9" s="451">
        <f>IF(ISNUMBER(IF(J_V="SI",Datos!L9,Datos!L9+Datos!AB9)),IF(J_V="SI",Datos!L9,Datos!L9+Datos!AB9)," - ")</f>
        <v>5568</v>
      </c>
      <c r="J9" s="452">
        <f>IF(ISNUMBER(I9/B9),I9/B9," - ")</f>
        <v>1113.5999999999999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75</v>
      </c>
      <c r="D10" s="452">
        <f>IF(ISNUMBER(C10/Datos!BH10),C10/Datos!BH10," - ")</f>
        <v>75</v>
      </c>
      <c r="E10" s="451">
        <f>IF(ISNUMBER(Datos!J10),Datos!J10," - ")</f>
        <v>127</v>
      </c>
      <c r="F10" s="452">
        <f>IF(ISNUMBER(E10/B10),E10/B10," - ")</f>
        <v>127</v>
      </c>
      <c r="G10" s="451">
        <f>IF(ISNUMBER(Datos!K10),Datos!K10," - ")</f>
        <v>87</v>
      </c>
      <c r="H10" s="452">
        <f>IF(ISNUMBER(G10/B10),G10/B10," - ")</f>
        <v>87</v>
      </c>
      <c r="I10" s="451">
        <f>IF(ISNUMBER(Datos!L10),Datos!L10," - ")</f>
        <v>115</v>
      </c>
      <c r="J10" s="452">
        <f>IF(ISNUMBER(I10/B10),I10/B10," - ")</f>
        <v>115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5562</v>
      </c>
      <c r="D14" s="1147" t="str">
        <f>IF(ISNUMBER(C14/Datos!BI14),C14/Datos!BI14," - ")</f>
        <v xml:space="preserve"> - </v>
      </c>
      <c r="E14" s="1146">
        <f>SUBTOTAL(9,E8:E13)</f>
        <v>8740</v>
      </c>
      <c r="F14" s="1147">
        <f>IF(ISNUMBER(E14/B14),E14/B14," - ")</f>
        <v>1456.6666666666667</v>
      </c>
      <c r="G14" s="1146">
        <f>SUBTOTAL(9,G8:G13)</f>
        <v>8374</v>
      </c>
      <c r="H14" s="1147">
        <f>IF(ISNUMBER(G14/B14),G14/B14," - ")</f>
        <v>1395.6666666666667</v>
      </c>
      <c r="I14" s="1146">
        <f>SUBTOTAL(9,I8:I13)</f>
        <v>5683</v>
      </c>
      <c r="J14" s="1147">
        <f>IF(ISNUMBER(I14/B14),I14/B14," - ")</f>
        <v>947.16666666666663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5015</v>
      </c>
      <c r="D16" s="452">
        <f>IF(ISNUMBER(C16/Datos!BH16),C16/Datos!BH16," - ")</f>
        <v>1253.75</v>
      </c>
      <c r="E16" s="451">
        <f>IF(ISNUMBER(IF(D_I="SI",Datos!J16,Datos!J16+Datos!AD16)),IF(D_I="SI",Datos!J16,Datos!J16+Datos!AD16)," - ")</f>
        <v>10533</v>
      </c>
      <c r="F16" s="452">
        <f>IF(ISNUMBER(E16/B16),E16/B16," - ")</f>
        <v>2633.25</v>
      </c>
      <c r="G16" s="451">
        <f>IF(ISNUMBER(IF(D_I="SI",Datos!K16,Datos!K16+Datos!AE16)),IF(D_I="SI",Datos!K16,Datos!K16+Datos!AE16)," - ")</f>
        <v>10849</v>
      </c>
      <c r="H16" s="452">
        <f>IF(ISNUMBER(G16/B16),G16/B16," - ")</f>
        <v>2712.25</v>
      </c>
      <c r="I16" s="451">
        <f>IF(ISNUMBER(IF(D_I="SI",Datos!L16,Datos!L16+Datos!AF16)),IF(D_I="SI",Datos!L16,Datos!L16+Datos!AF16)," - ")</f>
        <v>4153</v>
      </c>
      <c r="J16" s="452">
        <f>IF(ISNUMBER(I16/B16),I16/B16," - ")</f>
        <v>1038.25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304</v>
      </c>
      <c r="D18" s="452">
        <f>IF(ISNUMBER(C18/Datos!BH18),C18/Datos!BH18," - ")</f>
        <v>304</v>
      </c>
      <c r="E18" s="451">
        <f>IF(ISNUMBER(IF(D_I="SI",Datos!J18,Datos!J18+Datos!AD18)),IF(D_I="SI",Datos!J18,Datos!J18+Datos!AD18)," - ")</f>
        <v>1350</v>
      </c>
      <c r="F18" s="452">
        <f>IF(ISNUMBER(E18/B18),E18/B18," - ")</f>
        <v>1350</v>
      </c>
      <c r="G18" s="451">
        <f>IF(ISNUMBER(IF(D_I="SI",Datos!K18,Datos!K18+Datos!AE18)),IF(D_I="SI",Datos!K18,Datos!K18+Datos!AE18)," - ")</f>
        <v>1345</v>
      </c>
      <c r="H18" s="452">
        <f>IF(ISNUMBER(G18/B18),G18/B18," - ")</f>
        <v>1345</v>
      </c>
      <c r="I18" s="451">
        <f>IF(ISNUMBER(IF(D_I="SI",Datos!L18,Datos!L18+Datos!AF18)),IF(D_I="SI",Datos!L18,Datos!L18+Datos!AF18)," - ")</f>
        <v>311</v>
      </c>
      <c r="J18" s="452">
        <f>IF(ISNUMBER(I18/B18),I18/B18," - ")</f>
        <v>311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199</v>
      </c>
      <c r="D21" s="452">
        <f>IF(ISNUMBER(C21/Datos!BH21),C21/Datos!BH21," - ")</f>
        <v>99.5</v>
      </c>
      <c r="E21" s="451">
        <f>IF(ISNUMBER(Datos!J21),Datos!J21," - ")</f>
        <v>766</v>
      </c>
      <c r="F21" s="452">
        <f>IF(ISNUMBER(E21/B21),E21/B21," - ")</f>
        <v>383</v>
      </c>
      <c r="G21" s="451">
        <f>IF(ISNUMBER(Datos!K21),Datos!K21," - ")</f>
        <v>671</v>
      </c>
      <c r="H21" s="452">
        <f>IF(ISNUMBER(G21/B21),G21/B21," - ")</f>
        <v>335.5</v>
      </c>
      <c r="I21" s="451">
        <f>IF(ISNUMBER(Datos!L21),Datos!L21," - ")</f>
        <v>323</v>
      </c>
      <c r="J21" s="452">
        <f>IF(ISNUMBER(I21/B21),I21/B21," - ")</f>
        <v>161.5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5518</v>
      </c>
      <c r="D23" s="1147" t="str">
        <f>IF(ISNUMBER(C23/Datos!BI23),C23/Datos!BI23," - ")</f>
        <v xml:space="preserve"> - </v>
      </c>
      <c r="E23" s="1146">
        <f>SUBTOTAL(9,E15:E22)</f>
        <v>12649</v>
      </c>
      <c r="F23" s="1147">
        <f>IF(ISNUMBER(E23/B23),E23/B23," - ")</f>
        <v>1807</v>
      </c>
      <c r="G23" s="1146">
        <f>SUBTOTAL(9,G15:G22)</f>
        <v>12865</v>
      </c>
      <c r="H23" s="1147">
        <f>IF(ISNUMBER(G23/B23),G23/B23," - ")</f>
        <v>1837.8571428571429</v>
      </c>
      <c r="I23" s="1146">
        <f>SUBTOTAL(9,I15:I22)</f>
        <v>4787</v>
      </c>
      <c r="J23" s="1147">
        <f>IF(ISNUMBER(I23/B23),I23/B23," - ")</f>
        <v>683.85714285714289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562</v>
      </c>
      <c r="D28" s="452">
        <f>IF(ISNUMBER(C28/Datos!BH28),C28/Datos!BH28," - ")</f>
        <v>562</v>
      </c>
      <c r="E28" s="451">
        <f>IF(ISNUMBER(Datos!J28),Datos!J28," - ")</f>
        <v>1159</v>
      </c>
      <c r="F28" s="452">
        <f>IF(ISNUMBER(E28/B28),E28/B28," - ")</f>
        <v>1159</v>
      </c>
      <c r="G28" s="451">
        <f>IF(ISNUMBER(Datos!K28),Datos!K28," - ")</f>
        <v>988</v>
      </c>
      <c r="H28" s="452">
        <f>IF(ISNUMBER(G28/B28),G28/B28," - ")</f>
        <v>988</v>
      </c>
      <c r="I28" s="451">
        <f>IF(ISNUMBER(Datos!L28),Datos!L28," - ")</f>
        <v>715</v>
      </c>
      <c r="J28" s="452">
        <f>IF(ISNUMBER(I28/B28),I28/B28," - ")</f>
        <v>715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562</v>
      </c>
      <c r="D30" s="1147" t="str">
        <f>IF(ISNUMBER(C30/Datos!BI30),C30/Datos!BI30," - ")</f>
        <v xml:space="preserve"> - </v>
      </c>
      <c r="E30" s="1146">
        <f>SUBTOTAL(9,E28:E29)</f>
        <v>1159</v>
      </c>
      <c r="F30" s="1147">
        <f>IF(ISNUMBER(E30/B30),E30/B30," - ")</f>
        <v>1159</v>
      </c>
      <c r="G30" s="1146">
        <f>SUBTOTAL(9,G28:G29)</f>
        <v>988</v>
      </c>
      <c r="H30" s="1147">
        <f>IF(ISNUMBER(G30/B30),G30/B30," - ")</f>
        <v>988</v>
      </c>
      <c r="I30" s="1146">
        <f>SUBTOTAL(9,I28:I29)</f>
        <v>715</v>
      </c>
      <c r="J30" s="1147">
        <f>IF(ISNUMBER(I30/B30),I30/B30," - ")</f>
        <v>715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11642</v>
      </c>
      <c r="D31" s="1085" t="str">
        <f>IF(ISNUMBER(C31/Datos!BI31),C31/Datos!BI31," - ")</f>
        <v xml:space="preserve"> - </v>
      </c>
      <c r="E31" s="1084">
        <f>SUBTOTAL(9,E9:E30)</f>
        <v>22548</v>
      </c>
      <c r="F31" s="1085">
        <f>IF(ISNUMBER(E31/B31),E31/B31," - ")</f>
        <v>1734.4615384615386</v>
      </c>
      <c r="G31" s="1084">
        <f>SUBTOTAL(9,G9:G30)</f>
        <v>22227</v>
      </c>
      <c r="H31" s="1085">
        <f>IF(ISNUMBER(G31/B31),G31/B31," - ")</f>
        <v>1709.7692307692307</v>
      </c>
      <c r="I31" s="1084">
        <f>SUBTOTAL(9,I9:I30)</f>
        <v>11185</v>
      </c>
      <c r="J31" s="1085">
        <f>IF(ISNUMBER(I31/B31),I31/B31," - ")</f>
        <v>860.38461538461536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yf5TsnaR1A/+lmgA42kkypu0zcbc3xWq3kN8mFkgmafmPjCZGlQDtFc7Gy4Fz1eHcCr5mj+47f1Rr++ooS4LA==" saltValue="4tAyY8SE8ie3k2/vsaz8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EIVISSA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315</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75</v>
      </c>
      <c r="G10" s="906">
        <f>IF(ISNUMBER(Datos!I10),Datos!I10," - ")</f>
        <v>75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87</v>
      </c>
      <c r="AC10" s="905" t="str">
        <f>IF(ISNUMBER(IF(D_I="SI",DatosP!K18,DatosP!K18+DatosP!AE18)),IF(D_I="SI",DatosP!K18,DatosP!K18+DatosP!AE18)," - ")</f>
        <v xml:space="preserve"> - </v>
      </c>
      <c r="AD10" s="907"/>
      <c r="AE10" s="907"/>
      <c r="AF10" s="910">
        <f>IF(ISNUMBER(Datos!L10),Datos!L10,"-")</f>
        <v>115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39</v>
      </c>
      <c r="AM10" s="914">
        <f>IF(ISNUMBER(Datos!N10+DatosP!N18),Datos!N10+DatosP!N18," - ")</f>
        <v>34</v>
      </c>
      <c r="AN10" s="914">
        <f>IF(ISNUMBER(Datos!BW10+DatosP!BW18),Datos!BW10+DatosP!BW18," - ")</f>
        <v>0</v>
      </c>
      <c r="AO10" s="915">
        <f>IF(ISNUMBER(Datos!BX10+DatosP!BX18),Datos!BX10+DatosP!BX18," - ")</f>
        <v>0</v>
      </c>
      <c r="AP10" s="917">
        <f>IF(ISNUMBER(((Datos!L10/Datos!K10)*11)/factor_trimestre),((Datos!L10/Datos!K10)*11)/factor_trimestre," - ")</f>
        <v>14.540229885057471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75</v>
      </c>
      <c r="G14" s="1256">
        <f t="shared" si="0"/>
        <v>75</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87</v>
      </c>
      <c r="AC14" s="1257">
        <f t="shared" si="1"/>
        <v>0</v>
      </c>
      <c r="AD14" s="1257">
        <f t="shared" si="1"/>
        <v>0</v>
      </c>
      <c r="AE14" s="1257">
        <f t="shared" si="1"/>
        <v>0</v>
      </c>
      <c r="AF14" s="1257">
        <f t="shared" si="1"/>
        <v>115</v>
      </c>
      <c r="AG14" s="1257">
        <f t="shared" si="1"/>
        <v>0</v>
      </c>
      <c r="AH14" s="1257">
        <f t="shared" si="1"/>
        <v>0</v>
      </c>
      <c r="AI14" s="1257">
        <f t="shared" si="1"/>
        <v>0</v>
      </c>
      <c r="AJ14" s="1257">
        <f t="shared" si="1"/>
        <v>0</v>
      </c>
      <c r="AK14" s="1257">
        <f t="shared" si="1"/>
        <v>0</v>
      </c>
      <c r="AL14" s="1257">
        <f t="shared" si="1"/>
        <v>39</v>
      </c>
      <c r="AM14" s="1257">
        <f t="shared" si="1"/>
        <v>34</v>
      </c>
      <c r="AN14" s="1257">
        <f t="shared" si="1"/>
        <v>0</v>
      </c>
      <c r="AO14" s="1257">
        <f t="shared" si="1"/>
        <v>0</v>
      </c>
      <c r="AP14" s="1262">
        <f>IF(ISNUMBER(((Datos!L14/Datos!K14)*11)/factor_trimestre),((Datos!L14/Datos!K14)*11)/factor_trimestre," - ")</f>
        <v>7.8506164828033738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-1.1599999999999999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4.0930431403031475</v>
      </c>
      <c r="AQ23" s="1262">
        <f>IF(ISNUMBER(((Datos!M23/Datos!L23)*11)/factor_trimestre),((Datos!M23/Datos!L23)*11)/factor_trimestre," - ")</f>
        <v>5.7470231878002931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-3.1833150384193196E-2</v>
      </c>
      <c r="AW23" s="1265">
        <f>IF(ISNUMBER((Datos!Q23-Datos!R23)/(Datos!S23-Datos!Q23+Datos!R23)),(Datos!Q23-Datos!R23)/(Datos!S23-Datos!Q23+Datos!R23)," - ")</f>
        <v>-0.19882518196909718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7.9605263157894743</v>
      </c>
      <c r="AQ30" s="1262">
        <f>IF(ISNUMBER(((Datos!M30/Datos!L30)*11)/factor_trimestre),((Datos!M30/Datos!L30)*11)/factor_trimestre," - ")</f>
        <v>6.046153846153846</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-0.34027777777777779</v>
      </c>
      <c r="AW30" s="1265">
        <f>IF(ISNUMBER((Datos!Q30-Datos!R30)/(Datos!S30-Datos!Q30+Datos!R30)),(Datos!Q30-Datos!R30)/(Datos!S30-Datos!Q30+Datos!R30)," - ")</f>
        <v>0.14832535885167464</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75</v>
      </c>
      <c r="G31" s="1278">
        <f t="shared" si="8"/>
        <v>75</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87</v>
      </c>
      <c r="AC31" s="1284">
        <f t="shared" si="9"/>
        <v>0</v>
      </c>
      <c r="AD31" s="1284">
        <f t="shared" si="9"/>
        <v>0</v>
      </c>
      <c r="AE31" s="1284">
        <f t="shared" si="9"/>
        <v>0</v>
      </c>
      <c r="AF31" s="1285">
        <f t="shared" si="9"/>
        <v>115</v>
      </c>
      <c r="AG31" s="1285">
        <f t="shared" si="9"/>
        <v>0</v>
      </c>
      <c r="AH31" s="1285">
        <f t="shared" si="9"/>
        <v>0</v>
      </c>
      <c r="AI31" s="1285">
        <f t="shared" si="9"/>
        <v>0</v>
      </c>
      <c r="AJ31" s="1286">
        <f t="shared" si="9"/>
        <v>0</v>
      </c>
      <c r="AK31" s="1286">
        <f t="shared" si="9"/>
        <v>0</v>
      </c>
      <c r="AL31" s="1278">
        <f t="shared" si="9"/>
        <v>39</v>
      </c>
      <c r="AM31" s="1278">
        <f t="shared" si="9"/>
        <v>34</v>
      </c>
      <c r="AN31" s="1278">
        <f t="shared" si="9"/>
        <v>0</v>
      </c>
      <c r="AO31" s="1278">
        <f t="shared" si="9"/>
        <v>0</v>
      </c>
      <c r="AP31" s="1278">
        <f>IF(ISNUMBER(((Datos!L31/Datos!K31)*11)/factor_trimestre),((Datos!L31/Datos!K31)*11)/factor_trimestre," - ")</f>
        <v>5.6132758140829386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-1.1599999999999999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1.823078516677025E-2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2.3979157616563596</v>
      </c>
      <c r="F33" s="1006">
        <f>IF(ISNUMBER(STDEV(F8:F30)),STDEV(F8:F30),"-")</f>
        <v>41.079191812887458</v>
      </c>
      <c r="G33" s="1007">
        <f>IF(ISNUMBER(STDEV(G8:G30)),STDEV(G8:G30),"-")</f>
        <v>41.079191812887458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47.651862502949449</v>
      </c>
      <c r="AC33" s="1008">
        <f>IF(ISNUMBER(STDEV(AC8:AC30)),STDEV(AC8:AC30),"-")</f>
        <v>0</v>
      </c>
      <c r="AD33" s="1011"/>
      <c r="AE33" s="1011"/>
      <c r="AF33" s="1011"/>
      <c r="AG33" s="1011"/>
      <c r="AH33" s="1011"/>
      <c r="AI33" s="1011"/>
      <c r="AJ33" s="1012">
        <f>IF(ISNUMBER(STDEV(AJ8:AJ30)),STDEV(AJ8:AJ30),"-")</f>
        <v>0</v>
      </c>
      <c r="AK33" s="1014"/>
      <c r="AL33" s="1006">
        <f>IF(ISNUMBER(STDEV(AL8:AL30)),STDEV(AL8:AL30),"-")</f>
        <v>21.361179742701477</v>
      </c>
      <c r="AM33" s="1006"/>
      <c r="AN33" s="1006">
        <f>IF(ISNUMBER(STDEV(AN8:AN30)),STDEV(AN8:AN30),"-")</f>
        <v>0</v>
      </c>
      <c r="AO33" s="1012">
        <f>IF(ISNUMBER(STDEV(AO8:AO30)),STDEV(AO8:AO30),"-")</f>
        <v>0</v>
      </c>
      <c r="AP33" s="1065">
        <f>IF(ISNUMBER(STDEV(AP8:AP30)),STDEV(AP8:AP30),"-")</f>
        <v>4.3423879866492721</v>
      </c>
      <c r="AQ33" s="1065">
        <f>IF(ISNUMBER(STDEV(AQ8:AQ30)),STDEV(AQ8:AQ30),"-")</f>
        <v>0.21151731698259363</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yQfYYIhU5YOY7XJvpErzWM+tPP2b7Ezx8R4+/aVNzpqF0/nkhR2/8IWW8zhRB64O6Ld5x2MWvzKoZ5O/BRyA==" saltValue="4r9cZ+0Yooid6lE54l2n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276</v>
      </c>
      <c r="B3" s="439" t="str">
        <f>Criterios!A10 &amp;"  "&amp;Criterios!B10</f>
        <v>Provincias  ILLES BALEARS</v>
      </c>
      <c r="C3" s="463"/>
      <c r="F3" s="436"/>
      <c r="G3" s="436"/>
      <c r="H3" s="436"/>
    </row>
    <row r="4" spans="1:15" ht="13.5" thickBot="1">
      <c r="A4" s="436"/>
      <c r="B4" s="439" t="str">
        <f>Criterios!A11 &amp;"  "&amp;Criterios!B11</f>
        <v>Resumenes por Partidos Judiciales  EIVISSA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Zual+hlXOjezkrgnnj8FzTLEHRbm81xZawbvgFakhQWgAVhKl4xRnXZjs3F9vvoe3+jzr2rV0pcx9MWDwrrlA==" saltValue="7Txr/pHL4N2ldglai/Cb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EIVISSA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2170</v>
      </c>
      <c r="E9" s="452">
        <f t="shared" ref="E9:E14" si="0">IF(ISNUMBER(D9/B9),D9/B9," - ")</f>
        <v>434</v>
      </c>
      <c r="F9" s="451">
        <f>IF(ISNUMBER(Datos!N9),Datos!N9," - ")</f>
        <v>2347</v>
      </c>
      <c r="G9" s="452">
        <f t="shared" ref="G9:G14" si="1">IF(ISNUMBER(F9/B9),F9/B9," - ")</f>
        <v>469.4</v>
      </c>
      <c r="H9" s="451">
        <f>IF(ISNUMBER(Datos!O9),Datos!O9," - ")</f>
        <v>2276</v>
      </c>
      <c r="I9" s="452">
        <f>IF(ISNUMBER(H9/B9),H9/B9," - ")</f>
        <v>455.2</v>
      </c>
    </row>
    <row r="10" spans="1:9">
      <c r="A10" s="450" t="str">
        <f>Datos!A10</f>
        <v>Jdos. Violencia contra la mujer</v>
      </c>
      <c r="B10" s="480">
        <f>Datos!AO10</f>
        <v>1</v>
      </c>
      <c r="C10" s="458">
        <f>Datos!AQ10</f>
        <v>1</v>
      </c>
      <c r="D10" s="451">
        <f>IF(ISNUMBER(Datos!M10),Datos!M10," - ")</f>
        <v>39</v>
      </c>
      <c r="E10" s="452">
        <f>IF(ISNUMBER(D10/B10),D10/B10," - ")</f>
        <v>39</v>
      </c>
      <c r="F10" s="451">
        <f>IF(ISNUMBER(Datos!N10),Datos!N10," - ")</f>
        <v>34</v>
      </c>
      <c r="G10" s="452">
        <f>IF(ISNUMBER(F10/B10),F10/B10," - ")</f>
        <v>34</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2209</v>
      </c>
      <c r="E14" s="1147">
        <f t="shared" si="0"/>
        <v>368.16666666666669</v>
      </c>
      <c r="F14" s="1146">
        <f>SUBTOTAL(9,F9:F13)</f>
        <v>2381</v>
      </c>
      <c r="G14" s="1147">
        <f t="shared" si="1"/>
        <v>396.83333333333331</v>
      </c>
      <c r="H14" s="1146">
        <f>SUBTOTAL(9,H9:H13)</f>
        <v>2295</v>
      </c>
      <c r="I14" s="1147">
        <f>IF(ISNUMBER(H14/B14),H14/B14," - ")</f>
        <v>382.5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1665</v>
      </c>
      <c r="E16" s="452">
        <f t="shared" ref="E16:E23" si="3">IF(ISNUMBER(D16/B16),D16/B16," - ")</f>
        <v>416.25</v>
      </c>
      <c r="F16" s="451">
        <f>IF(ISNUMBER(Datos!N16),Datos!N16," - ")</f>
        <v>6876</v>
      </c>
      <c r="G16" s="452">
        <f t="shared" ref="G16:G23" si="4">IF(ISNUMBER(F16/B16),F16/B16," - ")</f>
        <v>1719</v>
      </c>
      <c r="H16" s="451">
        <f>IF(ISNUMBER(Datos!O16),Datos!O16," - ")</f>
        <v>13</v>
      </c>
      <c r="I16" s="452">
        <f t="shared" ref="I16:I22" si="5">IF(ISNUMBER(H16/B16),H16/B16," - ")</f>
        <v>3.25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212</v>
      </c>
      <c r="E18" s="452">
        <f>IF(ISNUMBER(D18/B18),D18/B18," - ")</f>
        <v>212</v>
      </c>
      <c r="F18" s="451">
        <f>IF(ISNUMBER(Datos!N18),Datos!N18," - ")</f>
        <v>667</v>
      </c>
      <c r="G18" s="452">
        <f>IF(ISNUMBER(F18/B18),F18/B18," - ")</f>
        <v>667</v>
      </c>
      <c r="H18" s="451">
        <f>IF(ISNUMBER(Datos!O18),Datos!O18," - ")</f>
        <v>10</v>
      </c>
      <c r="I18" s="452">
        <f t="shared" si="5"/>
        <v>10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624</v>
      </c>
      <c r="E21" s="452">
        <f t="shared" si="3"/>
        <v>312</v>
      </c>
      <c r="F21" s="451">
        <f>IF(ISNUMBER(Datos!N21),Datos!N21," - ")</f>
        <v>34</v>
      </c>
      <c r="G21" s="452">
        <f t="shared" si="4"/>
        <v>17</v>
      </c>
      <c r="H21" s="451">
        <f>IF(ISNUMBER(Datos!O21),Datos!O21," - ")</f>
        <v>867</v>
      </c>
      <c r="I21" s="452">
        <f t="shared" si="5"/>
        <v>433.5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2501</v>
      </c>
      <c r="E23" s="1147">
        <f t="shared" si="3"/>
        <v>357.28571428571428</v>
      </c>
      <c r="F23" s="1146">
        <f>SUBTOTAL(9,F16:F22)</f>
        <v>7577</v>
      </c>
      <c r="G23" s="1147">
        <f t="shared" si="4"/>
        <v>1082.4285714285713</v>
      </c>
      <c r="H23" s="1146">
        <f>SUBTOTAL(9,H16:H22)</f>
        <v>890</v>
      </c>
      <c r="I23" s="1147">
        <f>IF(ISNUMBER(H23/B23),H23/B23," - ")</f>
        <v>127.14285714285714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393</v>
      </c>
      <c r="E28" s="452">
        <f t="shared" ref="E28:E30" si="9">IF(ISNUMBER(D28/B28),D28/B28," - ")</f>
        <v>393</v>
      </c>
      <c r="F28" s="451">
        <f>IF(ISNUMBER(Datos!N28),Datos!N28," - ")</f>
        <v>186</v>
      </c>
      <c r="G28" s="452">
        <f t="shared" ref="G28:G30" si="10">IF(ISNUMBER(F28/B28),F28/B28," - ")</f>
        <v>186</v>
      </c>
      <c r="H28" s="451">
        <f>IF(ISNUMBER(Datos!O28),Datos!O28," - ")</f>
        <v>507</v>
      </c>
      <c r="I28" s="452">
        <f t="shared" ref="I28:I30" si="11">IF(ISNUMBER(H28/B28),H28/B28," - ")</f>
        <v>507</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393</v>
      </c>
      <c r="E30" s="1147">
        <f t="shared" si="9"/>
        <v>393</v>
      </c>
      <c r="F30" s="1146">
        <f>SUBTOTAL(9,F28:F29)</f>
        <v>186</v>
      </c>
      <c r="G30" s="1147">
        <f t="shared" si="10"/>
        <v>186</v>
      </c>
      <c r="H30" s="1146">
        <f>SUBTOTAL(9,H28:H29)</f>
        <v>507</v>
      </c>
      <c r="I30" s="1147">
        <f t="shared" si="11"/>
        <v>507</v>
      </c>
    </row>
    <row r="31" spans="1:9" ht="14.25" thickTop="1" thickBot="1">
      <c r="A31" s="1083" t="str">
        <f>Datos!A31</f>
        <v>TOTAL JURISDICCIONES</v>
      </c>
      <c r="B31" s="1084">
        <f>Datos!AP31</f>
        <v>13</v>
      </c>
      <c r="C31" s="1084">
        <f>Datos!AR31</f>
        <v>13</v>
      </c>
      <c r="D31" s="1084">
        <f>SUBTOTAL(9,D8:D30)</f>
        <v>5103</v>
      </c>
      <c r="E31" s="1085">
        <f>IF(ISNUMBER(D31/B31),D31/B31," - ")</f>
        <v>392.53846153846155</v>
      </c>
      <c r="F31" s="1084">
        <f>SUBTOTAL(9,F8:F30)</f>
        <v>10144</v>
      </c>
      <c r="G31" s="1085">
        <f>IF(ISNUMBER(F31/B31),F31/B31," - ")</f>
        <v>780.30769230769226</v>
      </c>
      <c r="H31" s="1084">
        <f>SUBTOTAL(9,H8:H30)</f>
        <v>3692</v>
      </c>
      <c r="I31" s="1085">
        <f>IF(ISNUMBER(H31/B31),H31/B31," - ")</f>
        <v>284</v>
      </c>
    </row>
    <row r="34" spans="1:1">
      <c r="A34" s="439" t="str">
        <f>Criterios!A4</f>
        <v>Fecha Informe: 14 abr. 2023</v>
      </c>
    </row>
    <row r="39" spans="1:1">
      <c r="A39" s="462"/>
    </row>
  </sheetData>
  <sheetProtection algorithmName="SHA-512" hashValue="AOXwV5Ps8gvGV8ECbwPOmUsM8hiE6roSFM20NLmma3S2GyiOPe/3cwTOsBM7r3QnM/MepWqPCtBviWaNDYDZqQ==" saltValue="//R009cthWFkvnmOwQw/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45</v>
      </c>
      <c r="B3" s="439" t="str">
        <f>Criterios!A10 &amp;"  "&amp;Criterios!B10</f>
        <v>Provincias  ILLES BALEARS</v>
      </c>
    </row>
    <row r="4" spans="1:4" ht="13.5" thickBot="1">
      <c r="B4" s="439" t="str">
        <f>Criterios!A11 &amp;"  "&amp;Criterios!B11</f>
        <v>Resumenes por Partidos Judiciales  EIVISSA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1887</v>
      </c>
      <c r="C9" s="489">
        <f>IF(ISNUMBER(Datos!Q9),Datos!Q9," - ")</f>
        <v>1552</v>
      </c>
      <c r="D9" s="456">
        <f>IF(ISNUMBER(Datos!R9),Datos!R9," - ")</f>
        <v>6184</v>
      </c>
    </row>
    <row r="10" spans="1:4">
      <c r="A10" s="450" t="str">
        <f>Datos!A10</f>
        <v>Jdos. Violencia contra la mujer</v>
      </c>
      <c r="B10" s="488">
        <f>IF(ISNUMBER(Datos!P10),Datos!P10," - ")</f>
        <v>20</v>
      </c>
      <c r="C10" s="489">
        <f>IF(ISNUMBER(Datos!Q10),Datos!Q10," - ")</f>
        <v>14</v>
      </c>
      <c r="D10" s="456">
        <f>IF(ISNUMBER(Datos!R10),Datos!R10," - ")</f>
        <v>23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1907</v>
      </c>
      <c r="C14" s="1150">
        <f>SUBTOTAL(9,C9:C13)</f>
        <v>1566</v>
      </c>
      <c r="D14" s="1148">
        <f>SUBTOTAL(9,D9:D13)</f>
        <v>6207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210</v>
      </c>
      <c r="C16" s="489">
        <f>IF(ISNUMBER(Datos!Q16),Datos!Q16," - ")</f>
        <v>205</v>
      </c>
      <c r="D16" s="456">
        <f>IF(ISNUMBER(Datos!R16),Datos!R16," - ")</f>
        <v>247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11</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1636</v>
      </c>
      <c r="C21" s="489">
        <f>IF(ISNUMBER(Datos!Q21),Datos!Q21," - ")</f>
        <v>1755</v>
      </c>
      <c r="D21" s="456">
        <f>IF(ISNUMBER(Datos!R21),Datos!R21," - ")</f>
        <v>3274</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1855</v>
      </c>
      <c r="C23" s="1150">
        <f>SUBTOTAL(9,C16:C22)</f>
        <v>1971</v>
      </c>
      <c r="D23" s="1148">
        <f>SUBTOTAL(9,D16:D22)</f>
        <v>3528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170</v>
      </c>
      <c r="C28" s="489">
        <f>IF(ISNUMBER(Datos!Q28),Datos!Q28," - ")</f>
        <v>219</v>
      </c>
      <c r="D28" s="456">
        <f>IF(ISNUMBER(Datos!R28),Datos!R28," - ")</f>
        <v>95</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170</v>
      </c>
      <c r="C30" s="1150">
        <f>SUBTOTAL(9,C28:C29)</f>
        <v>219</v>
      </c>
      <c r="D30" s="1148">
        <f>SUBTOTAL(9,D28:D29)</f>
        <v>95</v>
      </c>
    </row>
    <row r="31" spans="1:4" ht="16.5" customHeight="1" thickTop="1" thickBot="1">
      <c r="A31" s="1083" t="str">
        <f>Datos!A31</f>
        <v>TOTAL JURISDICCIONES</v>
      </c>
      <c r="B31" s="1088">
        <f>SUBTOTAL(9,B8:B30)</f>
        <v>3932</v>
      </c>
      <c r="C31" s="1089">
        <f>SUBTOTAL(9,C8:C30)</f>
        <v>3756</v>
      </c>
      <c r="D31" s="1090">
        <f>SUBTOTAL(9,D8:D30)</f>
        <v>9830</v>
      </c>
    </row>
    <row r="32" spans="1:4" ht="7.5" customHeight="1"/>
    <row r="33" spans="1:1" ht="6" customHeight="1"/>
    <row r="34" spans="1:1">
      <c r="A34" s="439" t="str">
        <f>Criterios!A4</f>
        <v>Fecha Informe: 14 abr. 2023</v>
      </c>
    </row>
    <row r="39" spans="1:1">
      <c r="A39" s="462"/>
    </row>
  </sheetData>
  <sheetProtection algorithmName="SHA-512" hashValue="afs+OWWV9qLI0ttmHngdE1z95RqmrmfCIlJYQDu8uVLibfWB1ZU01iv0cffeaPvgs4eFBTxVzSOJPiUK2X7Jwg==" saltValue="RvuRbczFqfszGeBPGhLS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159</v>
      </c>
      <c r="B3" s="439" t="str">
        <f>Criterios!A10 &amp;"  "&amp;Criterios!B10</f>
        <v>Provincias  ILLES BALEARS</v>
      </c>
    </row>
    <row r="4" spans="1:11" ht="10.5" customHeight="1" thickBot="1">
      <c r="B4" s="439" t="str">
        <f>Criterios!A11 &amp;"  "&amp;Criterios!B11</f>
        <v>Resumenes por Partidos Judiciales  EIVISSA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-0.17102281311376341</v>
      </c>
      <c r="C9" s="515">
        <f>IF(ISNUMBER(
   IF(J_V="SI",(Datos!J9-Datos!T9)/Datos!T9,(Datos!J9+Datos!Z9-(Datos!T9+Datos!AH9))/(Datos!T9+Datos!AH9))
     ),IF(J_V="SI",(Datos!J9-Datos!T9)/Datos!T9,(Datos!J9+Datos!Z9-(Datos!T9+Datos!AH9))/(Datos!T9+Datos!AH9))," - ")</f>
        <v>0.15688381464069845</v>
      </c>
      <c r="D9" s="515">
        <f>IF(ISNUMBER(
   IF(J_V="SI",(Datos!K9-Datos!U9)/Datos!U9,(Datos!K9+Datos!AA9-(Datos!U9+Datos!AI9))/(Datos!U9+Datos!AI9))
     ),IF(J_V="SI",(Datos!K9-Datos!U9)/Datos!U9,(Datos!K9+Datos!AA9-(Datos!U9+Datos!AI9))/(Datos!U9+Datos!AI9))," - ")</f>
        <v>-2.3450388875795428E-2</v>
      </c>
      <c r="E9" s="515">
        <f>IF(ISNUMBER(
   IF(J_V="SI",(Datos!L9-Datos!V9)/Datos!V9,(Datos!L9+Datos!AB9-(Datos!V9+Datos!AJ9))/(Datos!V9+Datos!AJ9))
     ),IF(J_V="SI",(Datos!L9-Datos!V9)/Datos!V9,(Datos!L9+Datos!AB9-(Datos!V9+Datos!AJ9))/(Datos!V9+Datos!AJ9))," - ")</f>
        <v>1.4762165117550574E-2</v>
      </c>
      <c r="F9" s="515">
        <f>IF(ISNUMBER((Datos!M9-Datos!W9)/Datos!W9),(Datos!M9-Datos!W9)/Datos!W9," - ")</f>
        <v>4.4273339749759381E-2</v>
      </c>
      <c r="G9" s="516">
        <f>IF(ISNUMBER((Datos!N9-Datos!X9)/Datos!X9),(Datos!N9-Datos!X9)/Datos!X9," - ")</f>
        <v>-6.3073852295409183E-2</v>
      </c>
      <c r="H9" s="514">
        <f>IF(ISNUMBER(((NºAsuntos!G9/NºAsuntos!E9)-Datos!BD9)/Datos!BD9),((NºAsuntos!G9/NºAsuntos!E9)-Datos!BD9)/Datos!BD9," - ")</f>
        <v>-0.15587926914899533</v>
      </c>
      <c r="I9" s="515">
        <f>IF(ISNUMBER(((NºAsuntos!I9/NºAsuntos!G9)-Datos!BE9)/Datos!BE9),((NºAsuntos!I9/NºAsuntos!G9)-Datos!BE9)/Datos!BE9," - ")</f>
        <v>3.9130171737363897E-2</v>
      </c>
      <c r="J9" s="521">
        <f>IF(ISNUMBER((('Resol  Asuntos'!D9/NºAsuntos!G9)-Datos!BF9)/Datos!BF9),(('Resol  Asuntos'!D9/NºAsuntos!G9)-Datos!BF9)/Datos!BF9," - ")</f>
        <v>-0.11293040803875536</v>
      </c>
      <c r="K9" s="522">
        <f>IF(ISNUMBER((((NºAsuntos!C9+NºAsuntos!E9)/NºAsuntos!G9)-Datos!BG9)/Datos!BG9),(((NºAsuntos!C9+NºAsuntos!E9)/NºAsuntos!G9)-Datos!BG9)/Datos!BG9," - ")</f>
        <v>2.6634710148837018E-2</v>
      </c>
    </row>
    <row r="10" spans="1:11">
      <c r="A10" s="450" t="str">
        <f>Datos!A10</f>
        <v>Jdos. Violencia contra la mujer</v>
      </c>
      <c r="B10" s="514">
        <f>IF(ISNUMBER((Datos!I10-Datos!S10)/Datos!S10),(Datos!I10-Datos!S10)/Datos!S10," - ")</f>
        <v>-0.27884615384615385</v>
      </c>
      <c r="C10" s="515">
        <f>IF(ISNUMBER((Datos!J10-Datos!T10)/Datos!T10),(Datos!J10-Datos!T10)/Datos!T10," - ")</f>
        <v>0.5679012345679012</v>
      </c>
      <c r="D10" s="515">
        <f>IF(ISNUMBER((Datos!K10-Datos!U10)/Datos!U10),(Datos!K10-Datos!U10)/Datos!U10," - ")</f>
        <v>-0.20909090909090908</v>
      </c>
      <c r="E10" s="515">
        <f>IF(ISNUMBER((Datos!L10-Datos!V10)/Datos!V10),(Datos!L10-Datos!V10)/Datos!V10," - ")</f>
        <v>0.53333333333333333</v>
      </c>
      <c r="F10" s="515">
        <f>IF(ISNUMBER((Datos!M10-Datos!W10)/Datos!W10),(Datos!M10-Datos!W10)/Datos!W10," - ")</f>
        <v>-0.26415094339622641</v>
      </c>
      <c r="G10" s="516">
        <f>IF(ISNUMBER((Datos!N10-Datos!X10)/Datos!X10),(Datos!N10-Datos!X10)/Datos!X10," - ")</f>
        <v>-2.8571428571428571E-2</v>
      </c>
      <c r="H10" s="514">
        <f>IF(ISNUMBER(((NºAsuntos!G10/NºAsuntos!E10)-Datos!BD10)/Datos!BD10),((NºAsuntos!G10/NºAsuntos!E10)-Datos!BD10)/Datos!BD10," - ")</f>
        <v>-0.49556191839656405</v>
      </c>
      <c r="I10" s="515">
        <f>IF(ISNUMBER(((NºAsuntos!I10/NºAsuntos!G10)-Datos!BE10)/Datos!BE10),((NºAsuntos!I10/NºAsuntos!G10)-Datos!BE10)/Datos!BE10," - ")</f>
        <v>0.9386973180076631</v>
      </c>
      <c r="J10" s="521">
        <f>IF(ISNUMBER((('Resol  Asuntos'!D10/NºAsuntos!G10)-Datos!BF10)/Datos!BF10),(('Resol  Asuntos'!D10/NºAsuntos!G10)-Datos!BF10)/Datos!BF10," - ")</f>
        <v>-6.9616135328562104E-2</v>
      </c>
      <c r="K10" s="522">
        <f>IF(ISNUMBER((((NºAsuntos!C10+NºAsuntos!E10)/NºAsuntos!G10)-Datos!BG10)/Datos!BG10),(((NºAsuntos!C10+NºAsuntos!E10)/NºAsuntos!G10)-Datos!BG10)/Datos!BG10," - ")</f>
        <v>0.38055296675986328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-0.17269076305220885</v>
      </c>
      <c r="C14" s="1152">
        <f>IF(ISNUMBER(
   IF(J_V="SI",(Datos!J14-Datos!T14)/Datos!T14,(Datos!J14+Datos!Z14-(Datos!T14+Datos!AH14))/(Datos!T14+Datos!AH14))
     ),IF(J_V="SI",(Datos!J14-Datos!T14)/Datos!T14,(Datos!J14+Datos!Z14-(Datos!T14+Datos!AH14))/(Datos!T14+Datos!AH14))," - ")</f>
        <v>0.16130746744618654</v>
      </c>
      <c r="D14" s="1152">
        <f>IF(ISNUMBER(
   IF(J_V="SI",(Datos!K14-Datos!U14)/Datos!U14,(Datos!K14+Datos!AA14-(Datos!U14+Datos!AI14))/(Datos!U14+Datos!AI14))
     ),IF(J_V="SI",(Datos!K14-Datos!U14)/Datos!U14,(Datos!K14+Datos!AA14-(Datos!U14+Datos!AI14))/(Datos!U14+Datos!AI14))," - ")</f>
        <v>-2.5825965565379246E-2</v>
      </c>
      <c r="E14" s="1152">
        <f>IF(ISNUMBER(
   IF(J_V="SI",(Datos!L14-Datos!V14)/Datos!V14,(Datos!L14+Datos!AB14-(Datos!V14+Datos!AJ14))/(Datos!V14+Datos!AJ14))
     ),IF(J_V="SI",(Datos!L14-Datos!V14)/Datos!V14,(Datos!L14+Datos!AB14-(Datos!V14+Datos!AJ14))/(Datos!V14+Datos!AJ14))," - ")</f>
        <v>2.1754764473211074E-2</v>
      </c>
      <c r="F14" s="1153">
        <f>IF(ISNUMBER((Datos!M14-Datos!W14)/Datos!W14),(Datos!M14-Datos!W14)/Datos!W14," - ")</f>
        <v>3.6602534021586107E-2</v>
      </c>
      <c r="G14" s="1154">
        <f>IF(ISNUMBER((Datos!N14-Datos!X14)/Datos!X14),(Datos!N14-Datos!X14)/Datos!X14," - ")</f>
        <v>-6.2598425196850396E-2</v>
      </c>
      <c r="H14" s="1154">
        <f>IF(ISNUMBER(((NºAsuntos!G14/NºAsuntos!E14)-Datos!BD14)/Datos!BD14),((NºAsuntos!G14/NºAsuntos!E14)-Datos!BD14)/Datos!BD14," - ")</f>
        <v>-0.16114029941018806</v>
      </c>
      <c r="I14" s="1154">
        <f>IF(ISNUMBER(((NºAsuntos!I14/NºAsuntos!G14)-Datos!BE14)/Datos!BE14),((NºAsuntos!I14/NºAsuntos!G14)-Datos!BE14)/Datos!BE14," - ")</f>
        <v>4.8842125079021095E-2</v>
      </c>
      <c r="J14" s="1154">
        <f>IF(ISNUMBER((('Resol  Asuntos'!D14/NºAsuntos!G14)-Datos!BF14)/Datos!BF14),(('Resol  Asuntos'!D14/NºAsuntos!G14)-Datos!BF14)/Datos!BF14," - ")</f>
        <v>-0.11354105647007105</v>
      </c>
      <c r="K14" s="1154">
        <f>IF(ISNUMBER((((NºAsuntos!C14+NºAsuntos!E14)/NºAsuntos!G14)-Datos!BG14)/Datos!BG14),(((NºAsuntos!C14+NºAsuntos!E14)/NºAsuntos!G14)-Datos!BG14)/Datos!BG14," - ")</f>
        <v>3.032879525458046E-2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-0.11583215796897038</v>
      </c>
      <c r="C16" s="515">
        <f>IF(ISNUMBER(
   IF(D_I="SI",(Datos!J16-Datos!T16)/Datos!T16,(Datos!J16+Datos!AD16-(Datos!T16+Datos!AL16))/(Datos!T16+Datos!AL16))
     ),IF(D_I="SI",(Datos!J16-Datos!T16)/Datos!T16,(Datos!J16+Datos!AD16-(Datos!T16+Datos!AL16))/(Datos!T16+Datos!AL16))," - ")</f>
        <v>0.25557277387054478</v>
      </c>
      <c r="D16" s="515">
        <f>IF(ISNUMBER(
   IF(D_I="SI",(Datos!K16-Datos!U16)/Datos!U16,(Datos!K16+Datos!AE16-(Datos!U16+Datos!AM16))/(Datos!U16+Datos!AM16))
     ),IF(D_I="SI",(Datos!K16-Datos!U16)/Datos!U16,(Datos!K16+Datos!AE16-(Datos!U16+Datos!AM16))/(Datos!U16+Datos!AM16))," - ")</f>
        <v>0.19337806621933781</v>
      </c>
      <c r="E16" s="515">
        <f>IF(ISNUMBER(
   IF(D_I="SI",(Datos!L16-Datos!V16)/Datos!V16,(Datos!L16+Datos!AF16-(Datos!V16+Datos!AN16))/(Datos!V16+Datos!AN16))
     ),IF(D_I="SI",(Datos!L16-Datos!V16)/Datos!V16,(Datos!L16+Datos!AF16-(Datos!V16+Datos!AN16))/(Datos!V16+Datos!AN16))," - ")</f>
        <v>-0.17188434695912264</v>
      </c>
      <c r="F16" s="515">
        <f>IF(ISNUMBER((Datos!M16-Datos!W16)/Datos!W16),(Datos!M16-Datos!W16)/Datos!W16," - ")</f>
        <v>6.5941101152368758E-2</v>
      </c>
      <c r="G16" s="516">
        <f>IF(ISNUMBER((Datos!N16-Datos!X16)/Datos!X16),(Datos!N16-Datos!X16)/Datos!X16," - ")</f>
        <v>0.2413793103448276</v>
      </c>
      <c r="H16" s="514">
        <f>IF(ISNUMBER(((NºAsuntos!G16/NºAsuntos!E16)-Datos!BD16)/Datos!BD16),((NºAsuntos!G16/NºAsuntos!E16)-Datos!BD16)/Datos!BD16," - ")</f>
        <v>-4.9534928556534422E-2</v>
      </c>
      <c r="I16" s="515">
        <f>IF(ISNUMBER(((NºAsuntos!I16/NºAsuntos!G16)-Datos!BE16)/Datos!BE16),((NºAsuntos!I16/NºAsuntos!G16)-Datos!BE16)/Datos!BE16," - ")</f>
        <v>-0.30607434770074515</v>
      </c>
      <c r="J16" s="521">
        <f>IF(ISNUMBER((('Resol  Asuntos'!D16/NºAsuntos!G16)-Datos!BF16)/Datos!BF16),(('Resol  Asuntos'!D16/NºAsuntos!G16)-Datos!BF16)/Datos!BF16," - ")</f>
        <v>-0.10678674987775975</v>
      </c>
      <c r="K16" s="522">
        <f>IF(ISNUMBER((((NºAsuntos!C16+NºAsuntos!E16)/NºAsuntos!G16)-Datos!BG16)/Datos!BG16),(((NºAsuntos!C16+NºAsuntos!E16)/NºAsuntos!G16)-Datos!BG16)/Datos!BG16," - ")</f>
        <v>-7.3425652862133678E-2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-0.24938271604938272</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3.7008481110254433E-2</v>
      </c>
      <c r="E18" s="515">
        <f>IF(ISNUMBER(
   IF(D_I="SI",(Datos!L18-Datos!V18)/Datos!V18,(Datos!L18+Datos!AF18-(Datos!V18+Datos!AN18))/(Datos!V18+Datos!AN18))
     ),IF(D_I="SI",(Datos!L18-Datos!V18)/Datos!V18,(Datos!L18+Datos!AF18-(Datos!V18+Datos!AN18))/(Datos!V18+Datos!AN18))," - ")</f>
        <v>2.3026315789473683E-2</v>
      </c>
      <c r="F18" s="515">
        <f>IF(ISNUMBER((Datos!M18-Datos!W18)/Datos!W18),(Datos!M18-Datos!W18)/Datos!W18," - ")</f>
        <v>0.06</v>
      </c>
      <c r="G18" s="516">
        <f>IF(ISNUMBER((Datos!N18-Datos!X18)/Datos!X18),(Datos!N18-Datos!X18)/Datos!X18," - ")</f>
        <v>1.9877675840978593E-2</v>
      </c>
      <c r="H18" s="514">
        <f>IF(ISNUMBER(((NºAsuntos!G18/NºAsuntos!E18)-Datos!BD18)/Datos!BD18),((NºAsuntos!G18/NºAsuntos!E18)-Datos!BD18)/Datos!BD18," - ")</f>
        <v>-7.8214683457551545E-2</v>
      </c>
      <c r="I18" s="515">
        <f>IF(ISNUMBER(((NºAsuntos!I18/NºAsuntos!G18)-Datos!BE18)/Datos!BE18),((NºAsuntos!I18/NºAsuntos!G18)-Datos!BE18)/Datos!BE18," - ")</f>
        <v>-1.3483173547251122E-2</v>
      </c>
      <c r="J18" s="521">
        <f>IF(ISNUMBER((('Resol  Asuntos'!D18/NºAsuntos!G18)-Datos!BF18)/Datos!BF18),(('Resol  Asuntos'!D18/NºAsuntos!G18)-Datos!BF18)/Datos!BF18," - ")</f>
        <v>2.2171003717472011E-2</v>
      </c>
      <c r="K18" s="522">
        <f>IF(ISNUMBER((((NºAsuntos!C18+NºAsuntos!E18)/NºAsuntos!G18)-Datos!BG18)/Datos!BG18),(((NºAsuntos!C18+NºAsuntos!E18)/NºAsuntos!G18)-Datos!BG18)/Datos!BG18," - ")</f>
        <v>-6.2476693418568006E-3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1.015228426395939E-2</v>
      </c>
      <c r="C21" s="515">
        <f>IF(ISNUMBER((Datos!J21-Datos!T21)/Datos!T21),(Datos!J21-Datos!T21)/Datos!T21," - ")</f>
        <v>0.37522441651705568</v>
      </c>
      <c r="D21" s="515">
        <f>IF(ISNUMBER((Datos!K21-Datos!U21)/Datos!U21),(Datos!K21-Datos!U21)/Datos!U21," - ")</f>
        <v>0.14505119453924914</v>
      </c>
      <c r="E21" s="515">
        <f>IF(ISNUMBER((Datos!L21-Datos!V21)/Datos!V21),(Datos!L21-Datos!V21)/Datos!V21," - ")</f>
        <v>0.62311557788944727</v>
      </c>
      <c r="F21" s="515">
        <f>IF(ISNUMBER((Datos!M21-Datos!W21)/Datos!W21),(Datos!M21-Datos!W21)/Datos!W21," - ")</f>
        <v>0.13248638838475499</v>
      </c>
      <c r="G21" s="516">
        <f>IF(ISNUMBER((Datos!N21-Datos!X21)/Datos!X21),(Datos!N21-Datos!X21)/Datos!X21," - ")</f>
        <v>0.36</v>
      </c>
      <c r="H21" s="514">
        <f>IF(ISNUMBER(((NºAsuntos!G21/NºAsuntos!E21)-Datos!BD21)/Datos!BD21),((NºAsuntos!G21/NºAsuntos!E21)-Datos!BD21)/Datos!BD21," - ")</f>
        <v>-0.16737138987159036</v>
      </c>
      <c r="I21" s="515">
        <f>IF(ISNUMBER(((NºAsuntos!I21/NºAsuntos!G21)-Datos!BE21)/Datos!BE21),((NºAsuntos!I21/NºAsuntos!G21)-Datos!BE21)/Datos!BE21," - ")</f>
        <v>0.41750481168884668</v>
      </c>
      <c r="J21" s="521">
        <f>IF(ISNUMBER((('Resol  Asuntos'!D21/NºAsuntos!G21)-Datos!BF21)/Datos!BF21),(('Resol  Asuntos'!D21/NºAsuntos!G21)-Datos!BF21)/Datos!BF21," - ")</f>
        <v>-1.0973139204968056E-2</v>
      </c>
      <c r="K21" s="522">
        <f>IF(ISNUMBER((((NºAsuntos!C21+NºAsuntos!E21)/NºAsuntos!G21)-Datos!BG21)/Datos!BG21),(((NºAsuntos!C21+NºAsuntos!E21)/NºAsuntos!G21)-Datos!BG21)/Datos!BG21," - ")</f>
        <v>0.11771495886815274</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-0.1204972904048454</v>
      </c>
      <c r="C23" s="1152">
        <f>IF(ISNUMBER(
   IF(Criterios!B14="SI",(Datos!J23-Datos!T23)/Datos!T23,(Datos!J23+Datos!AD23-(Datos!T23+Datos!AL23))/(Datos!T23+Datos!AL23))
     ),IF(Criterios!B14="SI",(Datos!J23-Datos!T23)/Datos!T23,(Datos!J23+Datos!AD23-(Datos!T23+Datos!AL23))/(Datos!T23+Datos!AL23))," - ")</f>
        <v>0.24669820618963137</v>
      </c>
      <c r="D23" s="1152">
        <f>IF(ISNUMBER(
   IF(Criterios!B14="SI",(Datos!K23-Datos!U23)/Datos!U23,(Datos!K23+Datos!AE23-(Datos!U23+Datos!AM23))/(Datos!U23+Datos!AM23))
     ),IF(Criterios!B14="SI",(Datos!K23-Datos!U23)/Datos!U23,(Datos!K23+Datos!AE23-(Datos!U23+Datos!AM23))/(Datos!U23+Datos!AM23))," - ")</f>
        <v>0.17231638418079095</v>
      </c>
      <c r="E23" s="1152">
        <f>IF(ISNUMBER(
   IF(Criterios!B14="SI",(Datos!L23-Datos!V23)/Datos!V23,(Datos!L23+Datos!AF23-(Datos!V23+Datos!AN23))/(Datos!V23+Datos!AN23))
     ),IF(Criterios!B14="SI",(Datos!L23-Datos!V23)/Datos!V23,(Datos!L23+Datos!AF23-(Datos!V23+Datos!AN23))/(Datos!V23+Datos!AN23))," - ")</f>
        <v>-0.13247553461399059</v>
      </c>
      <c r="F23" s="1153">
        <f>IF(ISNUMBER((Datos!M23-Datos!W23)/Datos!W23),(Datos!M23-Datos!W23)/Datos!W23," - ")</f>
        <v>8.1279723303069609E-2</v>
      </c>
      <c r="G23" s="1154">
        <f>IF(ISNUMBER((Datos!N23-Datos!X23)/Datos!X23),(Datos!N23-Datos!X23)/Datos!X23," - ")</f>
        <v>0.21855902219363138</v>
      </c>
      <c r="H23" s="1154">
        <f>IF(ISNUMBER(((NºAsuntos!G23/NºAsuntos!E23)-Datos!BD23)/Datos!BD23),((NºAsuntos!G23/NºAsuntos!E23)-Datos!BD23)/Datos!BD23," - ")</f>
        <v>-5.9663053688172603E-2</v>
      </c>
      <c r="I23" s="1154">
        <f>IF(ISNUMBER(((NºAsuntos!I23/NºAsuntos!G23)-Datos!BE23)/Datos!BE23),((NºAsuntos!I23/NºAsuntos!G23)-Datos!BE23)/Datos!BE23," - ")</f>
        <v>-0.25999117892374146</v>
      </c>
      <c r="J23" s="1154">
        <f>IF(ISNUMBER((('Resol  Asuntos'!D23/NºAsuntos!G23)-Datos!BF23)/Datos!BF23),(('Resol  Asuntos'!D23/NºAsuntos!G23)-Datos!BF23)/Datos!BF23," - ")</f>
        <v>-7.7655368555935911E-2</v>
      </c>
      <c r="K23" s="1154">
        <f>IF(ISNUMBER((((NºAsuntos!C23+NºAsuntos!E23)/NºAsuntos!G23)-Datos!BG23)/Datos!BG23),(((NºAsuntos!C23+NºAsuntos!E23)/NºAsuntos!G23)-Datos!BG23)/Datos!BG23," - ")</f>
        <v>-5.6232041442261044E-2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-0.41458333333333336</v>
      </c>
      <c r="C28" s="515">
        <f>IF(ISNUMBER((Datos!J28-Datos!T28)/Datos!T28),(Datos!J28-Datos!T28)/Datos!T28," - ")</f>
        <v>0.34298957126303592</v>
      </c>
      <c r="D28" s="515">
        <f>IF(ISNUMBER((Datos!K28-Datos!U28)/Datos!U28),(Datos!K28-Datos!U28)/Datos!U28," - ")</f>
        <v>-0.21274900398406374</v>
      </c>
      <c r="E28" s="515">
        <f>IF(ISNUMBER((Datos!L28-Datos!V28)/Datos!V28),(Datos!L28-Datos!V28)/Datos!V28," - ")</f>
        <v>0.27224199288256229</v>
      </c>
      <c r="F28" s="515">
        <f>IF(ISNUMBER((Datos!M28-Datos!W28)/Datos!W28),(Datos!M28-Datos!W28)/Datos!W28," - ")</f>
        <v>-0.25426944971537002</v>
      </c>
      <c r="G28" s="516">
        <f>IF(ISNUMBER((Datos!N28-Datos!X28)/Datos!X28),(Datos!N28-Datos!X28)/Datos!X28," - ")</f>
        <v>-0.2846153846153846</v>
      </c>
      <c r="H28" s="514">
        <f>IF(ISNUMBER(((NºAsuntos!G28/NºAsuntos!E28)-Datos!BD28)/Datos!BD28),((NºAsuntos!G28/NºAsuntos!E28)-Datos!BD28)/Datos!BD28," - ")</f>
        <v>-0.41380706681470841</v>
      </c>
      <c r="I28" s="515">
        <f>IF(ISNUMBER(((NºAsuntos!I28/NºAsuntos!G28)-Datos!BE28)/Datos!BE28),((NºAsuntos!I28/NºAsuntos!G28)-Datos!BE28)/Datos!BE28," - ")</f>
        <v>0.61605637759880139</v>
      </c>
      <c r="J28" s="521">
        <f>IF(ISNUMBER((('Resol  Asuntos'!D28/NºAsuntos!G28)-Datos!BF28)/Datos!BF28),(('Resol  Asuntos'!D28/NºAsuntos!G28)-Datos!BF28)/Datos!BF28," - ")</f>
        <v>-5.2741052016993285E-2</v>
      </c>
      <c r="K28" s="522">
        <f>IF(ISNUMBER((((NºAsuntos!C28+NºAsuntos!E28)/NºAsuntos!G28)-Datos!BG28)/Datos!BG28),(((NºAsuntos!C28+NºAsuntos!E28)/NºAsuntos!G28)-Datos!BG28)/Datos!BG28," - ")</f>
        <v>0.19917062900721988</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-0.41458333333333336</v>
      </c>
      <c r="C30" s="1152">
        <f>IF(ISNUMBER((Datos!J30-Datos!T30)/Datos!T30),(Datos!J30-Datos!T30)/Datos!T30," - ")</f>
        <v>0.34298957126303592</v>
      </c>
      <c r="D30" s="1152">
        <f>IF(ISNUMBER((Datos!K30-Datos!U30)/Datos!U30),(Datos!K30-Datos!U30)/Datos!U30," - ")</f>
        <v>-0.21274900398406374</v>
      </c>
      <c r="E30" s="1152">
        <f>IF(ISNUMBER((Datos!L30-Datos!V30)/Datos!V30),(Datos!L30-Datos!V30)/Datos!V30," - ")</f>
        <v>0.27224199288256229</v>
      </c>
      <c r="F30" s="1153">
        <f>IF(ISNUMBER((Datos!M30-Datos!W30)/Datos!W30),(Datos!M30-Datos!W30)/Datos!W30," - ")</f>
        <v>-0.25426944971537002</v>
      </c>
      <c r="G30" s="1154">
        <f>IF(ISNUMBER((Datos!N30-Datos!X30)/Datos!X30),(Datos!N30-Datos!X30)/Datos!X30," - ")</f>
        <v>-0.2846153846153846</v>
      </c>
      <c r="H30" s="1154">
        <f>IF(ISNUMBER(((NºAsuntos!G30/NºAsuntos!E30)-Datos!BD30)/Datos!BD30),((NºAsuntos!G30/NºAsuntos!E30)-Datos!BD30)/Datos!BD30," - ")</f>
        <v>-0.41380706681470841</v>
      </c>
      <c r="I30" s="1154">
        <f>IF(ISNUMBER(((NºAsuntos!I30/NºAsuntos!G30)-Datos!BE30)/Datos!BE30),((NºAsuntos!I30/NºAsuntos!G30)-Datos!BE30)/Datos!BE30," - ")</f>
        <v>0.61605637759880139</v>
      </c>
      <c r="J30" s="1154">
        <f>IF(ISNUMBER((('Resol  Asuntos'!D30/NºAsuntos!G30)-Datos!BF30)/Datos!BF30),(('Resol  Asuntos'!D30/NºAsuntos!G30)-Datos!BF30)/Datos!BF30," - ")</f>
        <v>-5.2741052016993285E-2</v>
      </c>
      <c r="K30" s="1154">
        <f>IF(ISNUMBER((((NºAsuntos!C30+NºAsuntos!E30)/NºAsuntos!G30)-Datos!BG30)/Datos!BG30),(((NºAsuntos!C30+NºAsuntos!E30)/NºAsuntos!G30)-Datos!BG30)/Datos!BG30," - ")</f>
        <v>0.19917062900721988</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-0.16586659024145589</v>
      </c>
      <c r="C31" s="1092">
        <f>IF(ISNUMBER(
   IF(J_V="SI",(Datos!J31-Datos!T31)/Datos!T31,(Datos!J31+Datos!Z31-(Datos!T31+Datos!AH31))/(Datos!T31+Datos!AH31))
     ),IF(J_V="SI",(Datos!J31-Datos!T31)/Datos!T31,(Datos!J31+Datos!Z31-(Datos!T31+Datos!AH31))/(Datos!T31+Datos!AH31))," - ")</f>
        <v>0.21650930671702184</v>
      </c>
      <c r="D31" s="1092">
        <f>IF(ISNUMBER(
   IF(J_V="SI",(Datos!K31-Datos!U31)/Datos!U31,(Datos!K31+Datos!AA31-(Datos!U31+Datos!AI31))/(Datos!U31+Datos!AI31))
     ),IF(J_V="SI",(Datos!K31-Datos!U31)/Datos!U31,(Datos!K31+Datos!AA31-(Datos!U31+Datos!AI31))/(Datos!U31+Datos!AI31))," - ")</f>
        <v>6.7322929171668669E-2</v>
      </c>
      <c r="E31" s="1092">
        <f>IF(ISNUMBER(
   IF(J_V="SI",(Datos!L31-Datos!V31)/Datos!V31,(Datos!L31+Datos!AB31-(Datos!V31+Datos!AJ31))/(Datos!V31+Datos!AJ31))
     ),IF(J_V="SI",(Datos!L31-Datos!V31)/Datos!V31,(Datos!L31+Datos!AB31-(Datos!V31+Datos!AJ31))/(Datos!V31+Datos!AJ31))," - ")</f>
        <v>-3.9254423638550077E-2</v>
      </c>
      <c r="F31" s="1093">
        <f>IF(ISNUMBER((Datos!M31-Datos!W31)/Datos!W31),(Datos!M31-Datos!W31)/Datos!W31," - ")</f>
        <v>2.6554013277006638E-2</v>
      </c>
      <c r="G31" s="1094">
        <f>IF(ISNUMBER((Datos!N31-Datos!X31)/Datos!X31),(Datos!N31-Datos!X31)/Datos!X31," - ")</f>
        <v>0.12486138833444223</v>
      </c>
      <c r="H31" s="1095">
        <f>IF(ISNUMBER((Tasas!B31-Datos!BD31)/Datos!BD31),(Tasas!B31-Datos!BD31)/Datos!BD31," - ")</f>
        <v>-0.12263480165882212</v>
      </c>
      <c r="I31" s="1096">
        <f>IF(ISNUMBER((Tasas!C31-Datos!BE31)/Datos!BE31),(Tasas!C31-Datos!BE31)/Datos!BE31," - ")</f>
        <v>-9.9854832963189144E-2</v>
      </c>
      <c r="J31" s="1097">
        <f>IF(ISNUMBER((Tasas!D31-Datos!BF31)/Datos!BF31),(Tasas!D31-Datos!BF31)/Datos!BF31," - ")</f>
        <v>-0.11427918970003885</v>
      </c>
      <c r="K31" s="1097">
        <f>IF(ISNUMBER((Tasas!E31-Datos!BG31)/Datos!BG31),(Tasas!E31-Datos!BG31)/Datos!BG31," - ")</f>
        <v>-1.4113733674798991E-2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1lk+46htqY1i3LLbaYlb4+T0gQbtFFVVsOfqCsLYkLQqG7weYKCh2FP6ra+Pzpcj/t2yc4kDsygV4f43BHVhA==" saltValue="CDu7hgLRS4pXzBOF8GDf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EIVISSA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0.96215023801230692</v>
      </c>
      <c r="C9" s="498">
        <f>IF(ISNUMBER(NºAsuntos!I9/NºAsuntos!G9),NºAsuntos!I9/NºAsuntos!G9," - ")</f>
        <v>0.67189574031615784</v>
      </c>
      <c r="D9" s="499">
        <f>IF(ISNUMBER('Resol  Asuntos'!D9/NºAsuntos!G9),'Resol  Asuntos'!D9/NºAsuntos!G9," - ")</f>
        <v>0.26185591890913479</v>
      </c>
      <c r="E9" s="500">
        <f>IF(ISNUMBER((NºAsuntos!C9+NºAsuntos!E9)/NºAsuntos!G9),(NºAsuntos!C9+NºAsuntos!E9)/NºAsuntos!G9," - ")</f>
        <v>1.7014601182575118</v>
      </c>
      <c r="G9" s="523"/>
    </row>
    <row r="10" spans="1:7">
      <c r="A10" s="450" t="str">
        <f>Datos!A10</f>
        <v>Jdos. Violencia contra la mujer</v>
      </c>
      <c r="B10" s="497">
        <f>IF(ISNUMBER(NºAsuntos!G10/NºAsuntos!E10),NºAsuntos!G10/NºAsuntos!E10," - ")</f>
        <v>0.68503937007874016</v>
      </c>
      <c r="C10" s="498">
        <f>IF(ISNUMBER(NºAsuntos!I10/NºAsuntos!G10),NºAsuntos!I10/NºAsuntos!G10," - ")</f>
        <v>1.3218390804597702</v>
      </c>
      <c r="D10" s="499">
        <f>IF(ISNUMBER('Resol  Asuntos'!D10/NºAsuntos!G10),'Resol  Asuntos'!D10/NºAsuntos!G10," - ")</f>
        <v>0.44827586206896552</v>
      </c>
      <c r="E10" s="500">
        <f>IF(ISNUMBER((NºAsuntos!C10+NºAsuntos!E10)/NºAsuntos!G10),(NºAsuntos!C10+NºAsuntos!E10)/NºAsuntos!G10," - ")</f>
        <v>2.3218390804597702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0.95812356979405033</v>
      </c>
      <c r="C14" s="1156">
        <f>IF(ISNUMBER(NºAsuntos!I14/NºAsuntos!G14),NºAsuntos!I14/NºAsuntos!G14," - ")</f>
        <v>0.67864819679961785</v>
      </c>
      <c r="D14" s="1157">
        <f>IF(ISNUMBER('Resol  Asuntos'!D14/NºAsuntos!G14),'Resol  Asuntos'!D14/NºAsuntos!G14," - ")</f>
        <v>0.26379269166467639</v>
      </c>
      <c r="E14" s="1158">
        <f>IF(ISNUMBER((NºAsuntos!C14+NºAsuntos!E14)/NºAsuntos!G14),(NºAsuntos!C14+NºAsuntos!E14)/NºAsuntos!G14," - ")</f>
        <v>1.7079054215428708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1.0300009493971327</v>
      </c>
      <c r="C16" s="498">
        <f>IF(ISNUMBER(NºAsuntos!I16/NºAsuntos!G16),NºAsuntos!I16/NºAsuntos!G16," - ")</f>
        <v>0.38280025808830309</v>
      </c>
      <c r="D16" s="499">
        <f>IF(ISNUMBER('Resol  Asuntos'!D16/NºAsuntos!G16),'Resol  Asuntos'!D16/NºAsuntos!G16," - ")</f>
        <v>0.15347036593234401</v>
      </c>
      <c r="E16" s="500">
        <f>IF(ISNUMBER((NºAsuntos!C16+NºAsuntos!E16)/NºAsuntos!G16),(NºAsuntos!C16+NºAsuntos!E16)/NºAsuntos!G16," - ")</f>
        <v>1.4331274771868374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0.99629629629629635</v>
      </c>
      <c r="C18" s="498">
        <f>IF(ISNUMBER(NºAsuntos!I18/NºAsuntos!G18),NºAsuntos!I18/NºAsuntos!G18," - ")</f>
        <v>0.2312267657992565</v>
      </c>
      <c r="D18" s="499">
        <f>IF(ISNUMBER('Resol  Asuntos'!D18/NºAsuntos!G18),'Resol  Asuntos'!D18/NºAsuntos!G18," - ")</f>
        <v>0.15762081784386617</v>
      </c>
      <c r="E18" s="500">
        <f>IF(ISNUMBER((NºAsuntos!C18+NºAsuntos!E18)/NºAsuntos!G18),(NºAsuntos!C18+NºAsuntos!E18)/NºAsuntos!G18," - ")</f>
        <v>1.2297397769516729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0.87597911227154046</v>
      </c>
      <c r="C21" s="498">
        <f>IF(ISNUMBER(NºAsuntos!I21/NºAsuntos!G21),NºAsuntos!I21/NºAsuntos!G21," - ")</f>
        <v>0.481371087928465</v>
      </c>
      <c r="D21" s="499">
        <f>IF(ISNUMBER('Resol  Asuntos'!D21/NºAsuntos!G21),'Resol  Asuntos'!D21/NºAsuntos!G21," - ")</f>
        <v>0.92995529061102833</v>
      </c>
      <c r="E21" s="500">
        <f>IF(ISNUMBER((NºAsuntos!C21+NºAsuntos!E21)/NºAsuntos!G21),(NºAsuntos!C21+NºAsuntos!E21)/NºAsuntos!G21," - ")</f>
        <v>1.4381520119225037</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1.017076448731125</v>
      </c>
      <c r="C23" s="1156">
        <f>IF(ISNUMBER(NºAsuntos!I23/NºAsuntos!G23),NºAsuntos!I23/NºAsuntos!G23," - ")</f>
        <v>0.3720948309366498</v>
      </c>
      <c r="D23" s="1159">
        <f>IF(ISNUMBER('Resol  Asuntos'!D23/NºAsuntos!G23),'Resol  Asuntos'!D23/NºAsuntos!G23," - ")</f>
        <v>0.19440342013214146</v>
      </c>
      <c r="E23" s="1158">
        <f>IF(ISNUMBER((NºAsuntos!C23+NºAsuntos!E23)/NºAsuntos!G23),(NºAsuntos!C23+NºAsuntos!E23)/NºAsuntos!G23," - ")</f>
        <v>1.4121259230470269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0.85245901639344257</v>
      </c>
      <c r="C28" s="498">
        <f>IF(ISNUMBER(NºAsuntos!I28/NºAsuntos!G28),NºAsuntos!I28/NºAsuntos!G28," - ")</f>
        <v>0.72368421052631582</v>
      </c>
      <c r="D28" s="499">
        <f>IF(ISNUMBER('Resol  Asuntos'!D28/NºAsuntos!G28),'Resol  Asuntos'!D28/NºAsuntos!G28," - ")</f>
        <v>0.39777327935222673</v>
      </c>
      <c r="E28" s="500">
        <f>IF(ISNUMBER((NºAsuntos!C28+NºAsuntos!E28)/NºAsuntos!G28),(NºAsuntos!C28+NºAsuntos!E28)/NºAsuntos!G28," - ")</f>
        <v>1.7419028340080971</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0.85245901639344257</v>
      </c>
      <c r="C30" s="1156">
        <f>IF(ISNUMBER(NºAsuntos!I30/NºAsuntos!G30),NºAsuntos!I30/NºAsuntos!G30," - ")</f>
        <v>0.72368421052631582</v>
      </c>
      <c r="D30" s="1159">
        <f>IF(ISNUMBER('Resol  Asuntos'!D30/NºAsuntos!G30),'Resol  Asuntos'!D30/NºAsuntos!G30," - ")</f>
        <v>0.39777327935222673</v>
      </c>
      <c r="E30" s="1158">
        <f>IF(ISNUMBER((NºAsuntos!C30+NºAsuntos!E30)/NºAsuntos!G30),(NºAsuntos!C30+NºAsuntos!E30)/NºAsuntos!G30," - ")</f>
        <v>1.7419028340080971</v>
      </c>
      <c r="G30" s="523"/>
    </row>
    <row r="31" spans="1:7" ht="15.75" customHeight="1" thickTop="1" thickBot="1">
      <c r="A31" s="1083" t="str">
        <f>Datos!A31</f>
        <v>TOTAL JURISDICCIONES</v>
      </c>
      <c r="B31" s="1098">
        <f>IF(ISNUMBER(NºAsuntos!G31/NºAsuntos!E31),NºAsuntos!G31/NºAsuntos!E31," - ")</f>
        <v>0.98576370409792446</v>
      </c>
      <c r="C31" s="1099">
        <f>IF(ISNUMBER(NºAsuntos!I31/NºAsuntos!G31),NºAsuntos!I31/NºAsuntos!G31," - ")</f>
        <v>0.50321680838619698</v>
      </c>
      <c r="D31" s="1100">
        <f>IF(ISNUMBER('Resol  Asuntos'!D31/NºAsuntos!G31),'Resol  Asuntos'!D31/NºAsuntos!G31," - ")</f>
        <v>0.22958563908759616</v>
      </c>
      <c r="E31" s="1101">
        <f>IF(ISNUMBER((NºAsuntos!C31+NºAsuntos!E31)/NºAsuntos!G31),(NºAsuntos!C31+NºAsuntos!E31)/NºAsuntos!G31," - ")</f>
        <v>1.5382192828541863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9TujVaNrnHt6sLYzakJyLttm0127q0cMshlsF0pGo2ddRygvTq8JF8o6EHxckMUACJBWcyVfgbWAl11sDp6fA==" saltValue="d3pLopC7JwUQRR579bHX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EIVISSA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315</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1887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1552</v>
      </c>
      <c r="Y9" s="374">
        <f>SUM(W9:X9)</f>
        <v>1552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6184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2170</v>
      </c>
      <c r="AJ9" s="243" t="str">
        <f>IF(ISNUMBER(Datos!BW9),Datos!BW9," - ")</f>
        <v xml:space="preserve"> - </v>
      </c>
      <c r="AK9" s="242" t="str">
        <f>IF(ISNUMBER(Datos!BX9),Datos!BX9," - ")</f>
        <v xml:space="preserve"> - </v>
      </c>
      <c r="AL9" s="266">
        <f>IF(ISNUMBER(NºAsuntos!G9/NºAsuntos!E9),NºAsuntos!G9/NºAsuntos!E9," - ")</f>
        <v>0.96215023801230692</v>
      </c>
      <c r="AM9" s="284">
        <f>IF(ISNUMBER(((NºAsuntos!I9/NºAsuntos!G9)*11)/factor_trimestre),((NºAsuntos!I9/NºAsuntos!G9)*11)/factor_trimestre," - ")</f>
        <v>7.3908531434777363</v>
      </c>
      <c r="AN9" s="267">
        <f>IF(ISNUMBER('Resol  Asuntos'!D9/NºAsuntos!G9),'Resol  Asuntos'!D9/NºAsuntos!G9," - ")</f>
        <v>0.26185591890913479</v>
      </c>
      <c r="AO9" s="268">
        <f>IF(ISNUMBER((NºAsuntos!C9+NºAsuntos!E9)/NºAsuntos!G9),(NºAsuntos!C9+NºAsuntos!E9)/NºAsuntos!G9," - ")</f>
        <v>1.7014601182575118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75</v>
      </c>
      <c r="G10" s="373">
        <f>IF(ISNUMBER(Datos!I10),Datos!I10," - ")</f>
        <v>75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87</v>
      </c>
      <c r="X10" s="240">
        <f>IF(ISNUMBER(Datos!Q10),Datos!Q10," - ")</f>
        <v>14</v>
      </c>
      <c r="Y10" s="374">
        <f t="shared" ref="Y10:Y13" si="0">SUM(W10:X10)</f>
        <v>101</v>
      </c>
      <c r="Z10" s="375" t="str">
        <f>IF(ISNUMBER(Datos!CC10),Datos!CC10," - ")</f>
        <v xml:space="preserve"> - </v>
      </c>
      <c r="AA10" s="372">
        <f>IF(ISNUMBER(Datos!L10),Datos!L10,"-")</f>
        <v>115</v>
      </c>
      <c r="AB10" s="374">
        <f>IF(ISNUMBER(Datos!R10),Datos!R10," - ")</f>
        <v>23</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39</v>
      </c>
      <c r="AJ10" s="245" t="str">
        <f>IF(ISNUMBER(Datos!BW10),Datos!BW10," - ")</f>
        <v xml:space="preserve"> - </v>
      </c>
      <c r="AK10" s="246" t="str">
        <f>IF(ISNUMBER(Datos!BX10),Datos!BX10," - ")</f>
        <v xml:space="preserve"> - </v>
      </c>
      <c r="AL10" s="266">
        <f>IF(ISNUMBER(NºAsuntos!G10/NºAsuntos!E10),NºAsuntos!G10/NºAsuntos!E10," - ")</f>
        <v>0.68503937007874016</v>
      </c>
      <c r="AM10" s="284">
        <f>IF(ISNUMBER(((NºAsuntos!I10/NºAsuntos!G10)*11)/factor_trimestre),((NºAsuntos!I10/NºAsuntos!G10)*11)/factor_trimestre," - ")</f>
        <v>14.540229885057471</v>
      </c>
      <c r="AN10" s="267">
        <f>IF(ISNUMBER('Resol  Asuntos'!D10/NºAsuntos!G10),'Resol  Asuntos'!D10/NºAsuntos!G10," - ")</f>
        <v>0.44827586206896552</v>
      </c>
      <c r="AO10" s="268">
        <f>IF(ISNUMBER((NºAsuntos!C10+NºAsuntos!E10)/NºAsuntos!G10),(NºAsuntos!C10+NºAsuntos!E10)/NºAsuntos!G10," - ")</f>
        <v>2.3218390804597702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75</v>
      </c>
      <c r="G14" s="1163">
        <f t="shared" si="5"/>
        <v>75</v>
      </c>
      <c r="H14" s="1162">
        <f t="shared" si="5"/>
        <v>0</v>
      </c>
      <c r="I14" s="1164">
        <f t="shared" si="5"/>
        <v>0</v>
      </c>
      <c r="J14" s="1164">
        <f t="shared" si="5"/>
        <v>0</v>
      </c>
      <c r="K14" s="1164">
        <f t="shared" si="5"/>
        <v>0</v>
      </c>
      <c r="L14" s="1164">
        <f t="shared" si="5"/>
        <v>1907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87</v>
      </c>
      <c r="X14" s="1164">
        <f t="shared" si="6"/>
        <v>1566</v>
      </c>
      <c r="Y14" s="1165">
        <f t="shared" si="6"/>
        <v>1653</v>
      </c>
      <c r="Z14" s="1165">
        <f t="shared" si="6"/>
        <v>0</v>
      </c>
      <c r="AA14" s="1165">
        <f t="shared" si="6"/>
        <v>115</v>
      </c>
      <c r="AB14" s="1165">
        <f t="shared" si="6"/>
        <v>6207</v>
      </c>
      <c r="AC14" s="1165">
        <f t="shared" si="6"/>
        <v>138</v>
      </c>
      <c r="AD14" s="1165">
        <f t="shared" si="6"/>
        <v>0</v>
      </c>
      <c r="AE14" s="1169">
        <f t="shared" si="6"/>
        <v>0</v>
      </c>
      <c r="AF14" s="1162">
        <f t="shared" si="6"/>
        <v>0</v>
      </c>
      <c r="AG14" s="1170">
        <f t="shared" si="6"/>
        <v>0</v>
      </c>
      <c r="AH14" s="1167">
        <f t="shared" si="6"/>
        <v>0</v>
      </c>
      <c r="AI14" s="1162">
        <f t="shared" si="6"/>
        <v>2209</v>
      </c>
      <c r="AJ14" s="1164">
        <f t="shared" si="6"/>
        <v>0</v>
      </c>
      <c r="AK14" s="1167">
        <f>SUBTOTAL(9,AK9:AK13)</f>
        <v>0</v>
      </c>
      <c r="AL14" s="1171">
        <f>IF(ISNUMBER(NºAsuntos!G14/NºAsuntos!E14),NºAsuntos!G14/NºAsuntos!E14," - ")</f>
        <v>0.95812356979405033</v>
      </c>
      <c r="AM14" s="1171">
        <f>IF(ISNUMBER(((NºAsuntos!I14/NºAsuntos!G14)*11)/factor_trimestre),((NºAsuntos!I14/NºAsuntos!G14)*11)/factor_trimestre," - ")</f>
        <v>7.4651301647957968</v>
      </c>
      <c r="AN14" s="1172">
        <f>IF(ISNUMBER('Resol  Asuntos'!D14/NºAsuntos!G14),'Resol  Asuntos'!D14/NºAsuntos!G14," - ")</f>
        <v>0.26379269166467639</v>
      </c>
      <c r="AO14" s="1173">
        <f>IF(ISNUMBER((NºAsuntos!C14+NºAsuntos!E14)/NºAsuntos!G14),(NºAsuntos!C14+NºAsuntos!E14)/NºAsuntos!G14," - ")</f>
        <v>1.7079054215428708</v>
      </c>
      <c r="AP14" s="1174" t="str">
        <f t="shared" si="2"/>
        <v xml:space="preserve"> - </v>
      </c>
      <c r="AQ14" s="1174">
        <f>IF(ISNUMBER((H14-W14+K14)/(F14)),(H14-W14+K14)/(F14)," - ")</f>
        <v>-1.1599999999999999</v>
      </c>
      <c r="AR14" s="1175">
        <f>IF(ISNUMBER((Datos!P14-Datos!Q14)/(Datos!R14-Datos!P14+Datos!Q14)),(Datos!P14-Datos!Q14)/(Datos!R14-Datos!P14+Datos!Q14)," - ")</f>
        <v>5.8131605864302764E-2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504</v>
      </c>
      <c r="C16" s="173" t="str">
        <f>Datos!A16</f>
        <v xml:space="preserve">Jdos. Instrucción                               </v>
      </c>
      <c r="D16" s="173"/>
      <c r="E16" s="1402">
        <f>IF(ISNUMBER(Datos!AQ16),Datos!AQ16," - ")</f>
        <v>4</v>
      </c>
      <c r="F16" s="239">
        <f>IF(ISNUMBER(AA16+W16-Datos!J16-K16),AA16+W16-Datos!J16-K16," - ")</f>
        <v>4469</v>
      </c>
      <c r="G16" s="373">
        <f>IF(ISNUMBER(IF(D_I="SI",Datos!I16,Datos!I16+Datos!AC16)),IF(D_I="SI",Datos!I16,Datos!I16+Datos!AC16)," - ")</f>
        <v>5015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10849</v>
      </c>
      <c r="X16" s="240">
        <f>IF(ISNUMBER(Datos!Q16),Datos!Q16," - ")</f>
        <v>205</v>
      </c>
      <c r="Y16" s="374">
        <f>SUM(W16)</f>
        <v>10849</v>
      </c>
      <c r="Z16" s="375" t="str">
        <f>IF(ISNUMBER(Datos!CC16),Datos!CC16," - ")</f>
        <v xml:space="preserve"> - </v>
      </c>
      <c r="AA16" s="372">
        <f>IF(ISNUMBER(IF(D_I="SI",Datos!L16,Datos!L16+Datos!AF16)),IF(D_I="SI",Datos!L16,Datos!L16+Datos!AF16)," - ")</f>
        <v>4153</v>
      </c>
      <c r="AB16" s="374">
        <f>IF(ISNUMBER(Datos!R16),Datos!R16," - ")</f>
        <v>247</v>
      </c>
      <c r="AC16" s="374">
        <f t="shared" ref="AC16:AC22" si="8">IF(ISNUMBER(AA16+AB16),AA16+AB16," - ")</f>
        <v>4400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1665</v>
      </c>
      <c r="AJ16" s="245" t="str">
        <f>IF(ISNUMBER(Datos!BW16),Datos!BW16," - ")</f>
        <v xml:space="preserve"> - </v>
      </c>
      <c r="AK16" s="246" t="str">
        <f>IF(ISNUMBER(Datos!BX16),Datos!BX16," - ")</f>
        <v xml:space="preserve"> - </v>
      </c>
      <c r="AL16" s="266">
        <f>IF(ISNUMBER(NºAsuntos!G16/NºAsuntos!E16),NºAsuntos!G16/NºAsuntos!E16," - ")</f>
        <v>1.0300009493971327</v>
      </c>
      <c r="AM16" s="284">
        <f>IF(ISNUMBER(((NºAsuntos!I16/NºAsuntos!G16)*11)/factor_trimestre),((NºAsuntos!I16/NºAsuntos!G16)*11)/factor_trimestre," - ")</f>
        <v>4.2108028389713343</v>
      </c>
      <c r="AN16" s="267">
        <f>IF(ISNUMBER('Resol  Asuntos'!D16/NºAsuntos!G16),'Resol  Asuntos'!D16/NºAsuntos!G16," - ")</f>
        <v>0.15347036593234401</v>
      </c>
      <c r="AO16" s="268">
        <f>IF(ISNUMBER((NºAsuntos!C16+NºAsuntos!E16)/NºAsuntos!G16),(NºAsuntos!C16+NºAsuntos!E16)/NºAsuntos!G16," - ")</f>
        <v>1.4331274771868374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1345</v>
      </c>
      <c r="X18" s="240">
        <f>IF(ISNUMBER(Datos!Q18),Datos!Q18," - ")</f>
        <v>11</v>
      </c>
      <c r="Y18" s="374">
        <f t="shared" si="9"/>
        <v>1356</v>
      </c>
      <c r="Z18" s="375" t="str">
        <f>IF(ISNUMBER(Datos!CC18),Datos!CC18," - ")</f>
        <v xml:space="preserve"> - </v>
      </c>
      <c r="AA18" s="372">
        <f>IF(ISNUMBER(Datos!L18),Datos!L18,"-")</f>
        <v>311</v>
      </c>
      <c r="AB18" s="374">
        <f>IF(ISNUMBER(Datos!R18),Datos!R18," - ")</f>
        <v>7</v>
      </c>
      <c r="AC18" s="374">
        <f t="shared" si="8"/>
        <v>318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212</v>
      </c>
      <c r="AJ18" s="245" t="str">
        <f>IF(ISNUMBER(Datos!BW18),Datos!BW18," - ")</f>
        <v xml:space="preserve"> - </v>
      </c>
      <c r="AK18" s="246" t="str">
        <f>IF(ISNUMBER(Datos!BX18),Datos!BX18," - ")</f>
        <v xml:space="preserve"> - </v>
      </c>
      <c r="AL18" s="266">
        <f>IF(ISNUMBER(NºAsuntos!G18/NºAsuntos!E18),NºAsuntos!G18/NºAsuntos!E18," - ")</f>
        <v>0.99629629629629635</v>
      </c>
      <c r="AM18" s="284">
        <f>IF(ISNUMBER(((NºAsuntos!I18/NºAsuntos!G18)*11)/factor_trimestre),((NºAsuntos!I18/NºAsuntos!G18)*11)/factor_trimestre," - ")</f>
        <v>2.5434944237918216</v>
      </c>
      <c r="AN18" s="267">
        <f>IF(ISNUMBER('Resol  Asuntos'!D18/NºAsuntos!G18),'Resol  Asuntos'!D18/NºAsuntos!G18," - ")</f>
        <v>0.15762081784386617</v>
      </c>
      <c r="AO18" s="268">
        <f>IF(ISNUMBER((NºAsuntos!C18+NºAsuntos!E18)/NºAsuntos!G18),(NºAsuntos!C18+NºAsuntos!E18)/NºAsuntos!G18," - ")</f>
        <v>1.2297397769516729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504</v>
      </c>
      <c r="C21" s="7" t="str">
        <f>Datos!A21</f>
        <v xml:space="preserve">Jdos. de lo Penal                               </v>
      </c>
      <c r="D21" s="7"/>
      <c r="E21" s="1402">
        <f>IF(ISNUMBER(Datos!AQ21),Datos!AQ21," - ")</f>
        <v>2</v>
      </c>
      <c r="F21" s="239">
        <f>IF(ISNUMBER(Datos!L21+Datos!K21-Datos!J21-K21),Datos!L21+Datos!K21-Datos!J21-K21," - ")</f>
        <v>228</v>
      </c>
      <c r="G21" s="373">
        <f>IF(ISNUMBER(Datos!I21),Datos!I21," - ")</f>
        <v>199</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1636</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671</v>
      </c>
      <c r="X21" s="240">
        <f>IF(ISNUMBER(Datos!Q21),Datos!Q21," - ")</f>
        <v>1755</v>
      </c>
      <c r="Y21" s="374">
        <f t="shared" si="9"/>
        <v>2426</v>
      </c>
      <c r="Z21" s="375" t="str">
        <f>IF(ISNUMBER(Datos!CC21),Datos!CC21," - ")</f>
        <v xml:space="preserve"> - </v>
      </c>
      <c r="AA21" s="372">
        <f>IF(ISNUMBER(Datos!L21),Datos!L21,"-")</f>
        <v>323</v>
      </c>
      <c r="AB21" s="374">
        <f>IF(ISNUMBER(Datos!R21),Datos!R21," - ")</f>
        <v>3274</v>
      </c>
      <c r="AC21" s="374">
        <f t="shared" si="8"/>
        <v>3597</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624</v>
      </c>
      <c r="AJ21" s="245" t="str">
        <f>IF(ISNUMBER(Datos!BW21),Datos!BW21," - ")</f>
        <v xml:space="preserve"> - </v>
      </c>
      <c r="AK21" s="246" t="str">
        <f>IF(ISNUMBER(Datos!BX21),Datos!BX21," - ")</f>
        <v xml:space="preserve"> - </v>
      </c>
      <c r="AL21" s="266">
        <f>IF(ISNUMBER(NºAsuntos!G21/NºAsuntos!E21),NºAsuntos!G21/NºAsuntos!E21," - ")</f>
        <v>0.87597911227154046</v>
      </c>
      <c r="AM21" s="284">
        <f>IF(ISNUMBER(((NºAsuntos!I21/NºAsuntos!G21)*11)/factor_trimestre),((NºAsuntos!I21/NºAsuntos!G21)*11)/factor_trimestre," - ")</f>
        <v>5.2950819672131146</v>
      </c>
      <c r="AN21" s="267">
        <f>IF(ISNUMBER('Resol  Asuntos'!D21/NºAsuntos!G21),'Resol  Asuntos'!D21/NºAsuntos!G21," - ")</f>
        <v>0.92995529061102833</v>
      </c>
      <c r="AO21" s="268">
        <f>IF(ISNUMBER((NºAsuntos!C21+NºAsuntos!E21)/NºAsuntos!G21),(NºAsuntos!C21+NºAsuntos!E21)/NºAsuntos!G21," - ")</f>
        <v>1.4381520119225037</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4697</v>
      </c>
      <c r="G23" s="1163">
        <f>SUBTOTAL(9,G16:G22)</f>
        <v>5518</v>
      </c>
      <c r="H23" s="1162">
        <f t="shared" ref="H23:O23" si="13">SUBTOTAL(9,H15:H22)</f>
        <v>0</v>
      </c>
      <c r="I23" s="1164">
        <f t="shared" si="13"/>
        <v>0</v>
      </c>
      <c r="J23" s="1164">
        <f t="shared" si="13"/>
        <v>0</v>
      </c>
      <c r="K23" s="1164">
        <f t="shared" si="13"/>
        <v>0</v>
      </c>
      <c r="L23" s="1164">
        <f t="shared" si="13"/>
        <v>1855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12865</v>
      </c>
      <c r="X23" s="1164">
        <f t="shared" si="14"/>
        <v>1971</v>
      </c>
      <c r="Y23" s="1165">
        <f t="shared" si="14"/>
        <v>14631</v>
      </c>
      <c r="Z23" s="1165">
        <f t="shared" si="14"/>
        <v>0</v>
      </c>
      <c r="AA23" s="1165">
        <f t="shared" si="14"/>
        <v>4787</v>
      </c>
      <c r="AB23" s="1165">
        <f t="shared" si="14"/>
        <v>3528</v>
      </c>
      <c r="AC23" s="1165">
        <f t="shared" si="14"/>
        <v>8315</v>
      </c>
      <c r="AD23" s="1165">
        <f t="shared" si="14"/>
        <v>0</v>
      </c>
      <c r="AE23" s="1169">
        <f t="shared" si="14"/>
        <v>0</v>
      </c>
      <c r="AF23" s="1162">
        <f t="shared" si="14"/>
        <v>0</v>
      </c>
      <c r="AG23" s="1170">
        <f t="shared" si="14"/>
        <v>0</v>
      </c>
      <c r="AH23" s="1167">
        <f t="shared" si="14"/>
        <v>0</v>
      </c>
      <c r="AI23" s="1162">
        <f t="shared" si="14"/>
        <v>2501</v>
      </c>
      <c r="AJ23" s="1164">
        <f t="shared" si="14"/>
        <v>0</v>
      </c>
      <c r="AK23" s="1167">
        <f t="shared" si="14"/>
        <v>0</v>
      </c>
      <c r="AL23" s="1171">
        <f>IF(ISNUMBER(NºAsuntos!G23/NºAsuntos!E23),NºAsuntos!G23/NºAsuntos!E23," - ")</f>
        <v>1.017076448731125</v>
      </c>
      <c r="AM23" s="1171">
        <f>IF(ISNUMBER(((NºAsuntos!I23/NºAsuntos!G23)*11)/factor_trimestre),((NºAsuntos!I23/NºAsuntos!G23)*11)/factor_trimestre," - ")</f>
        <v>4.0930431403031475</v>
      </c>
      <c r="AN23" s="1172">
        <f>IF(ISNUMBER('Resol  Asuntos'!D23/NºAsuntos!G23),'Resol  Asuntos'!D23/NºAsuntos!G23," - ")</f>
        <v>0.19440342013214146</v>
      </c>
      <c r="AO23" s="1173">
        <f>IF(ISNUMBER((NºAsuntos!C23+NºAsuntos!E23)/NºAsuntos!G23),(NºAsuntos!C23+NºAsuntos!E23)/NºAsuntos!G23," - ")</f>
        <v>1.4121259230470269</v>
      </c>
      <c r="AP23" s="1174" t="str">
        <f t="shared" si="2"/>
        <v xml:space="preserve"> - </v>
      </c>
      <c r="AQ23" s="1174">
        <f>IF(ISNUMBER((H23-W23+K23)/(F23)),(H23-W23+K23)/(F23)," - ")</f>
        <v>-2.7389823291462636</v>
      </c>
      <c r="AR23" s="1175">
        <f>IF(ISNUMBER((Datos!P23-Datos!Q23)/(Datos!R23-Datos!P23+Datos!Q23)),(Datos!P23-Datos!Q23)/(Datos!R23-Datos!P23+Datos!Q23)," - ")</f>
        <v>-3.1833150384193196E-2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506</v>
      </c>
      <c r="C28" s="7" t="str">
        <f>Datos!A28</f>
        <v xml:space="preserve">Jdos. de lo Social                              </v>
      </c>
      <c r="D28" s="7"/>
      <c r="E28" s="1402">
        <f>IF(ISNUMBER(Datos!AQ28),Datos!AQ28," - ")</f>
        <v>1</v>
      </c>
      <c r="F28" s="239">
        <f>IF(ISNUMBER(Datos!L28+Datos!K28-Datos!J28-K28),Datos!L28+Datos!K28-Datos!J28-K28," - ")</f>
        <v>544</v>
      </c>
      <c r="G28" s="373">
        <f>IF(ISNUMBER(Datos!I28),Datos!I28," - ")</f>
        <v>562</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170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988</v>
      </c>
      <c r="X28" s="240">
        <f>IF(ISNUMBER(Datos!Q28),Datos!Q28," - ")</f>
        <v>219</v>
      </c>
      <c r="Y28" s="374">
        <f>SUM(W28:X28)</f>
        <v>1207</v>
      </c>
      <c r="Z28" s="375" t="str">
        <f>IF(ISNUMBER(Datos!CC28),Datos!CC28," - ")</f>
        <v xml:space="preserve"> - </v>
      </c>
      <c r="AA28" s="372">
        <f>IF(ISNUMBER(Datos!L28),Datos!L28,"-")</f>
        <v>715</v>
      </c>
      <c r="AB28" s="374">
        <f>IF(ISNUMBER(Datos!R28),Datos!R28," - ")</f>
        <v>95</v>
      </c>
      <c r="AC28" s="374">
        <f>IF(ISNUMBER(AA28+AB28),AA28+AB28," - ")</f>
        <v>810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393</v>
      </c>
      <c r="AJ28" s="245" t="str">
        <f>IF(ISNUMBER(Datos!BW28),Datos!BW28," - ")</f>
        <v xml:space="preserve"> - </v>
      </c>
      <c r="AK28" s="246" t="str">
        <f>IF(ISNUMBER(Datos!BX28),Datos!BX28," - ")</f>
        <v xml:space="preserve"> - </v>
      </c>
      <c r="AL28" s="266">
        <f>IF(ISNUMBER(NºAsuntos!G28/NºAsuntos!E28),NºAsuntos!G28/NºAsuntos!E28," - ")</f>
        <v>0.85245901639344257</v>
      </c>
      <c r="AM28" s="284">
        <f>IF(ISNUMBER(((NºAsuntos!I28/NºAsuntos!G28)*11)/factor_trimestre),((NºAsuntos!I28/NºAsuntos!G28)*11)/factor_trimestre," - ")</f>
        <v>7.9605263157894743</v>
      </c>
      <c r="AN28" s="267">
        <f>IF(ISNUMBER('Resol  Asuntos'!D28/NºAsuntos!G28),'Resol  Asuntos'!D28/NºAsuntos!G28," - ")</f>
        <v>0.39777327935222673</v>
      </c>
      <c r="AO28" s="268">
        <f>IF(ISNUMBER((NºAsuntos!C28+NºAsuntos!E28)/NºAsuntos!G28),(NºAsuntos!C28+NºAsuntos!E28)/NºAsuntos!G28," - ")</f>
        <v>1.7419028340080971</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544</v>
      </c>
      <c r="G30" s="1162">
        <f>SUBTOTAL(9,G28:G29)</f>
        <v>562</v>
      </c>
      <c r="H30" s="1162">
        <f>SUBTOTAL(9,H28:H29)</f>
        <v>0</v>
      </c>
      <c r="I30" s="1167">
        <f>SUBTOTAL(9,I28:I29)</f>
        <v>0</v>
      </c>
      <c r="J30" s="1167">
        <f>SUBTOTAL(9,J28:J29)</f>
        <v>0</v>
      </c>
      <c r="K30" s="1167">
        <f>SUBTOTAL(9,K23:K29)</f>
        <v>0</v>
      </c>
      <c r="L30" s="1167">
        <f>SUBTOTAL(9,L28:L29)</f>
        <v>170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988</v>
      </c>
      <c r="X30" s="1164">
        <f t="shared" si="19"/>
        <v>219</v>
      </c>
      <c r="Y30" s="1165">
        <f t="shared" si="19"/>
        <v>1207</v>
      </c>
      <c r="Z30" s="1165">
        <f t="shared" si="19"/>
        <v>0</v>
      </c>
      <c r="AA30" s="1165">
        <f t="shared" si="19"/>
        <v>715</v>
      </c>
      <c r="AB30" s="1165">
        <f t="shared" si="19"/>
        <v>95</v>
      </c>
      <c r="AC30" s="1165">
        <f t="shared" si="19"/>
        <v>810</v>
      </c>
      <c r="AD30" s="1165">
        <f t="shared" si="19"/>
        <v>0</v>
      </c>
      <c r="AE30" s="1169">
        <f t="shared" si="19"/>
        <v>0</v>
      </c>
      <c r="AF30" s="1162">
        <f t="shared" si="19"/>
        <v>0</v>
      </c>
      <c r="AG30" s="1170">
        <f t="shared" si="19"/>
        <v>0</v>
      </c>
      <c r="AH30" s="1167">
        <f t="shared" si="19"/>
        <v>0</v>
      </c>
      <c r="AI30" s="1162">
        <f t="shared" si="19"/>
        <v>393</v>
      </c>
      <c r="AJ30" s="1164">
        <f t="shared" si="19"/>
        <v>0</v>
      </c>
      <c r="AK30" s="1167">
        <f t="shared" si="19"/>
        <v>0</v>
      </c>
      <c r="AL30" s="1171">
        <f>IF(ISNUMBER(NºAsuntos!G30/NºAsuntos!E30),NºAsuntos!G30/NºAsuntos!E30," - ")</f>
        <v>0.85245901639344257</v>
      </c>
      <c r="AM30" s="1171">
        <f>IF(ISNUMBER(((NºAsuntos!I30/NºAsuntos!G30)*11)/factor_trimestre),((NºAsuntos!I30/NºAsuntos!G30)*11)/factor_trimestre," - ")</f>
        <v>7.9605263157894743</v>
      </c>
      <c r="AN30" s="1172">
        <f>IF(ISNUMBER('Resol  Asuntos'!D30/NºAsuntos!G30),'Resol  Asuntos'!D30/NºAsuntos!G30," - ")</f>
        <v>0.39777327935222673</v>
      </c>
      <c r="AO30" s="1173">
        <f>IF(ISNUMBER((NºAsuntos!C30+NºAsuntos!E30)/NºAsuntos!G30),(NºAsuntos!C30+NºAsuntos!E30)/NºAsuntos!G30," - ")</f>
        <v>1.7419028340080971</v>
      </c>
      <c r="AP30" s="1174" t="str">
        <f t="shared" si="2"/>
        <v xml:space="preserve"> - </v>
      </c>
      <c r="AQ30" s="1174">
        <f t="shared" si="18"/>
        <v>-1.8161764705882353</v>
      </c>
      <c r="AR30" s="1175">
        <f>IF(ISNUMBER((Datos!P30-Datos!Q30)/(Datos!R30-Datos!P30+Datos!Q30)),(Datos!P30-Datos!Q30)/(Datos!R30-Datos!P30+Datos!Q30)," - ")</f>
        <v>-0.34027777777777779</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5316</v>
      </c>
      <c r="G31" s="1118">
        <f t="shared" si="20"/>
        <v>6155</v>
      </c>
      <c r="H31" s="1117">
        <f t="shared" si="20"/>
        <v>0</v>
      </c>
      <c r="I31" s="1119">
        <f t="shared" si="20"/>
        <v>0</v>
      </c>
      <c r="J31" s="1119">
        <f t="shared" si="20"/>
        <v>0</v>
      </c>
      <c r="K31" s="1180">
        <f t="shared" si="20"/>
        <v>0</v>
      </c>
      <c r="L31" s="1119">
        <f t="shared" si="20"/>
        <v>3932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13940</v>
      </c>
      <c r="X31" s="1118">
        <f t="shared" si="21"/>
        <v>3756</v>
      </c>
      <c r="Y31" s="1125">
        <f t="shared" si="21"/>
        <v>17491</v>
      </c>
      <c r="Z31" s="1125">
        <f t="shared" si="21"/>
        <v>0</v>
      </c>
      <c r="AA31" s="1125">
        <f t="shared" si="21"/>
        <v>5617</v>
      </c>
      <c r="AB31" s="1125">
        <f t="shared" si="21"/>
        <v>9830</v>
      </c>
      <c r="AC31" s="1125">
        <f t="shared" si="21"/>
        <v>9263</v>
      </c>
      <c r="AD31" s="1125">
        <f t="shared" si="21"/>
        <v>0</v>
      </c>
      <c r="AE31" s="1127">
        <f t="shared" si="21"/>
        <v>0</v>
      </c>
      <c r="AF31" s="1128">
        <f t="shared" si="21"/>
        <v>0</v>
      </c>
      <c r="AG31" s="1129">
        <f t="shared" si="21"/>
        <v>0</v>
      </c>
      <c r="AH31" s="1127">
        <f t="shared" si="21"/>
        <v>0</v>
      </c>
      <c r="AI31" s="1117">
        <f t="shared" si="21"/>
        <v>5103</v>
      </c>
      <c r="AJ31" s="1117">
        <f t="shared" si="21"/>
        <v>0</v>
      </c>
      <c r="AK31" s="1127">
        <f t="shared" si="21"/>
        <v>0</v>
      </c>
      <c r="AL31" s="1183">
        <f>IF(ISNUMBER(NºAsuntos!G31/NºAsuntos!E31),NºAsuntos!G31/NºAsuntos!E31," - ")</f>
        <v>0.98576370409792446</v>
      </c>
      <c r="AM31" s="1184">
        <f>IF(ISNUMBER(((NºAsuntos!I31/NºAsuntos!G31)*11)/factor_trimestre),((NºAsuntos!I31/NºAsuntos!G31)*11)/factor_trimestre," - ")</f>
        <v>5.5353848922481665</v>
      </c>
      <c r="AN31" s="1184">
        <f>IF(ISNUMBER('Resol  Asuntos'!D31/NºAsuntos!G31),'Resol  Asuntos'!D31/NºAsuntos!G31," - ")</f>
        <v>0.22958563908759616</v>
      </c>
      <c r="AO31" s="1185">
        <f>IF(ISNUMBER((NºAsuntos!C31+NºAsuntos!E31)/NºAsuntos!G31),(NºAsuntos!C31+NºAsuntos!E31)/NºAsuntos!G31," - ")</f>
        <v>1.5382192828541863</v>
      </c>
      <c r="AP31" s="1186" t="str">
        <f t="shared" si="2"/>
        <v xml:space="preserve"> - </v>
      </c>
      <c r="AQ31" s="1187">
        <f>IF(OR(ISNUMBER(FIND("01",Criterios!A8,1)),ISNUMBER(FIND("02",Criterios!A8,1)),ISNUMBER(FIND("03",Criterios!A8,1)),ISNUMBER(FIND("04",Criterios!A8,1))),(I31-W31+K31)/(F31-K31),(H31-W31+K31)/(F31-K31))</f>
        <v>-2.6222723852520691</v>
      </c>
      <c r="AR31" s="1188">
        <f>IF(ISNUMBER((Datos!P31-Datos!Q31)/(Datos!R31-Datos!P31+Datos!Q31)),(Datos!P31-Datos!Q31)/(Datos!R31-Datos!P31+Datos!Q31)," - ")</f>
        <v>1.823078516677025E-2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1367.7777777777778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2.2698120590977857</v>
      </c>
      <c r="F33" s="276">
        <f>IF(ISNUMBER(STDEV(F8:F30)),STDEV(F8:F30),"-")</f>
        <v>2019.8637860721485</v>
      </c>
      <c r="G33" s="277">
        <f>IF(ISNUMBER(STDEV(G8:G30)),STDEV(G8:G30),"-")</f>
        <v>2223.0654386329802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5013.3530889460044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996.90088663707081</v>
      </c>
      <c r="AJ33" s="276">
        <f t="shared" si="25"/>
        <v>0</v>
      </c>
      <c r="AK33" s="278">
        <f t="shared" si="25"/>
        <v>0</v>
      </c>
      <c r="AL33" s="273">
        <f t="shared" si="25"/>
        <v>0.10986395325697353</v>
      </c>
      <c r="AM33" s="274">
        <f t="shared" si="25"/>
        <v>3.4964801798417251</v>
      </c>
      <c r="AN33" s="274">
        <f t="shared" si="25"/>
        <v>0.24116403462456956</v>
      </c>
      <c r="AO33" s="275">
        <f t="shared" si="25"/>
        <v>0.31577832828450086</v>
      </c>
      <c r="AP33" s="317" t="str">
        <f t="shared" si="25"/>
        <v>-</v>
      </c>
      <c r="AQ33" s="318">
        <f t="shared" si="25"/>
        <v>0.7932342454469562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UrZb7eSpOlVcK35jzAJWkOn5iaJOzpQaDLqJUC6OGYJtoHVdQLy7NluDbY1Wyvcq6H2Bx6JtjFJmy8py6Clvw==" saltValue="vIxQvxOzCljUuQBiRR/X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EIVISSA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4.4273339749759381E-2</v>
      </c>
      <c r="I9" s="395">
        <f>IF(ISNUMBER((Tasas!C9-Datos!BE9)/Datos!BE9),(Tasas!C9-Datos!BE9)/Datos!BE9," - ")</f>
        <v>3.9130171737363897E-2</v>
      </c>
      <c r="J9" s="394">
        <f>IF(ISNUMBER((Tasas!D9-Datos!BF9)/Datos!BF9),(Tasas!D9-Datos!BF9)/Datos!BF9," - ")</f>
        <v>-0.11293040803875536</v>
      </c>
      <c r="K9" s="396">
        <f>IF(ISNUMBER((Tasas!E9-Datos!BG9)/Datos!BG9),(Tasas!E9-Datos!BG9)/Datos!BG9," - ")</f>
        <v>2.6634710148837018E-2</v>
      </c>
      <c r="M9" t="e">
        <f>IF(Monitorios="SI",Datos!CE9,0)</f>
        <v>#REF!</v>
      </c>
      <c r="N9" t="e">
        <f>IF(Monitorios="SI",Datos!CF9,0)</f>
        <v>#REF!</v>
      </c>
      <c r="O9" t="e">
        <f>IF(Monitorios="SI",Datos!CG9,0)</f>
        <v>#REF!</v>
      </c>
      <c r="P9" t="e">
        <f>IF(Monitorios="SI",Datos!CH9,0)</f>
        <v>#REF!</v>
      </c>
      <c r="Q9">
        <f>IF(J_V="SI",0,Datos!AG9)</f>
        <v>241</v>
      </c>
      <c r="R9">
        <f>IF(J_V="SI",0,Datos!AH9)</f>
        <v>659</v>
      </c>
      <c r="S9">
        <f>IF(J_V="SI",0,Datos!AI9)</f>
        <v>672</v>
      </c>
      <c r="T9">
        <f>IF(J_V="SI",0,Datos!AJ9)</f>
        <v>228</v>
      </c>
    </row>
    <row r="10" spans="2:20" ht="14.25">
      <c r="B10" s="300" t="s">
        <v>315</v>
      </c>
      <c r="C10" s="7" t="str">
        <f>Datos!A10</f>
        <v>Jdos. Violencia contra la mujer</v>
      </c>
      <c r="D10" s="397">
        <f>IF(ISNUMBER((Datos!I10-Datos!S10)/Datos!S10),(Datos!I10-Datos!S10)/Datos!S10," - ")</f>
        <v>-0.27884615384615385</v>
      </c>
      <c r="E10" s="393">
        <f>IF(ISNUMBER((Datos!J10-Datos!T10)/Datos!T10),(Datos!J10-Datos!T10)/Datos!T10," - ")</f>
        <v>0.5679012345679012</v>
      </c>
      <c r="F10" s="393">
        <f>IF(ISNUMBER((Datos!K10-Datos!U10)/Datos!U10),(Datos!K10-Datos!U10)/Datos!U10," - ")</f>
        <v>-0.20909090909090908</v>
      </c>
      <c r="G10" s="394">
        <f>IF(ISNUMBER((Datos!L10-Datos!V10)/Datos!V10),(Datos!L10-Datos!V10)/Datos!V10," - ")</f>
        <v>0.53333333333333333</v>
      </c>
      <c r="H10" s="244">
        <f>IF(ISNUMBER((Datos!M10-Datos!W10)/Datos!W10),(Datos!M10-Datos!W10)/Datos!W10," - ")</f>
        <v>-0.26415094339622641</v>
      </c>
      <c r="I10" s="395">
        <f>IF(ISNUMBER((Tasas!C10-Datos!BE10)/Datos!BE10),(Tasas!C10-Datos!BE10)/Datos!BE10," - ")</f>
        <v>0.9386973180076631</v>
      </c>
      <c r="J10" s="394">
        <f>IF(ISNUMBER((Tasas!D10-Datos!BF10)/Datos!BF10),(Tasas!D10-Datos!BF10)/Datos!BF10," - ")</f>
        <v>-6.9616135328562104E-2</v>
      </c>
      <c r="K10" s="396">
        <f>IF(ISNUMBER((Tasas!E10-Datos!BG10)/Datos!BG10),(Tasas!E10-Datos!BG10)/Datos!BG10," - ")</f>
        <v>0.38055296675986328</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3.6602534021586107E-2</v>
      </c>
      <c r="I14" s="402">
        <f>IF(ISNUMBER((Tasas!C14-Datos!BE14)/Datos!BE14),(Tasas!C14-Datos!BE14)/Datos!BE14," - ")</f>
        <v>4.8842125079021095E-2</v>
      </c>
      <c r="J14" s="400">
        <f>IF(ISNUMBER((Tasas!D14-Datos!BF14)/Datos!BF14),(Tasas!D14-Datos!BF14)/Datos!BF14," - ")</f>
        <v>-0.11354105647007105</v>
      </c>
      <c r="K14" s="403">
        <f>IF(ISNUMBER((Tasas!E14-Datos!BG14)/Datos!BG14),(Tasas!E14-Datos!BG14)/Datos!BG14," - ")</f>
        <v>3.032879525458046E-2</v>
      </c>
      <c r="M14" t="e">
        <f>IF(Monitorios="SI",Datos!CE14,0)</f>
        <v>#REF!</v>
      </c>
      <c r="N14" t="e">
        <f>IF(Monitorios="SI",Datos!CF14,0)</f>
        <v>#REF!</v>
      </c>
      <c r="O14" t="e">
        <f>IF(Monitorios="SI",Datos!CG14,0)</f>
        <v>#REF!</v>
      </c>
      <c r="P14" t="e">
        <f>IF(Monitorios="SI",Datos!CH14,0)</f>
        <v>#REF!</v>
      </c>
      <c r="Q14">
        <f>IF(J_V="SI",0,Datos!AG14)</f>
        <v>241</v>
      </c>
      <c r="R14">
        <f>IF(J_V="SI",0,Datos!AH14)</f>
        <v>659</v>
      </c>
      <c r="S14">
        <f>IF(J_V="SI",0,Datos!AI14)</f>
        <v>672</v>
      </c>
      <c r="T14">
        <f>IF(J_V="SI",0,Datos!AJ14)</f>
        <v>228</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-0.11583215796897038</v>
      </c>
      <c r="E16" s="393">
        <f>IF(ISNUMBER(
   IF(D_I="SI",(Datos!J16-Datos!T16)/Datos!T16,(Datos!J16+Datos!AD16-(Datos!T16+Datos!AL16))/(Datos!T16+Datos!AL16))
     ),IF(D_I="SI",(Datos!J16-Datos!T16)/Datos!T16,(Datos!J16+Datos!AD16-(Datos!T16+Datos!AL16))/(Datos!T16+Datos!AL16))," - ")</f>
        <v>0.25557277387054478</v>
      </c>
      <c r="F16" s="393">
        <f>IF(ISNUMBER(
   IF(D_I="SI",(Datos!K16-Datos!U16)/Datos!U16,(Datos!K16+Datos!AE16-(Datos!U16+Datos!AM16))/(Datos!U16+Datos!AM16))
     ),IF(D_I="SI",(Datos!K16-Datos!U16)/Datos!U16,(Datos!K16+Datos!AE16-(Datos!U16+Datos!AM16))/(Datos!U16+Datos!AM16))," - ")</f>
        <v>0.19337806621933781</v>
      </c>
      <c r="G16" s="394">
        <f>IF(ISNUMBER(
   IF(D_I="SI",(Datos!L16-Datos!V16)/Datos!V16,(Datos!L16+Datos!AF16-(Datos!V16+Datos!AN16))/(Datos!V16+Datos!AN16))
     ),IF(D_I="SI",(Datos!L16-Datos!V16)/Datos!V16,(Datos!L16+Datos!AF16-(Datos!V16+Datos!AN16))/(Datos!V16+Datos!AN16))," - ")</f>
        <v>-0.17188434695912264</v>
      </c>
      <c r="H16" s="244">
        <f>IF(ISNUMBER((Datos!M16-Datos!W16)/Datos!W16),(Datos!M16-Datos!W16)/Datos!W16," - ")</f>
        <v>6.5941101152368758E-2</v>
      </c>
      <c r="I16" s="395">
        <f>IF(ISNUMBER((Tasas!C16-Datos!BE16)/Datos!BE16),(Tasas!C16-Datos!BE16)/Datos!BE16," - ")</f>
        <v>-0.30607434770074515</v>
      </c>
      <c r="J16" s="394">
        <f>IF(ISNUMBER((Tasas!D16-Datos!BF16)/Datos!BF16),(Tasas!D16-Datos!BF16)/Datos!BF16," - ")</f>
        <v>-0.10678674987775975</v>
      </c>
      <c r="K16" s="396">
        <f>IF(ISNUMBER((Tasas!E16-Datos!BG16)/Datos!BG16),(Tasas!E16-Datos!BG16)/Datos!BG16," - ")</f>
        <v>-7.3425652862133678E-2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-0.24938271604938272</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3.7008481110254433E-2</v>
      </c>
      <c r="G18" s="394">
        <f>IF(ISNUMBER(
   IF(D_I="SI",(Datos!L18-Datos!V18)/Datos!V18,(Datos!L18+Datos!AF18-(Datos!V18+Datos!AN18))/(Datos!V18+Datos!AN18))
     ),IF(D_I="SI",(Datos!L18-Datos!V18)/Datos!V18,(Datos!L18+Datos!AF18-(Datos!V18+Datos!AN18))/(Datos!V18+Datos!AN18))," - ")</f>
        <v>2.3026315789473683E-2</v>
      </c>
      <c r="H18" s="244">
        <f>IF(ISNUMBER((Datos!M18-Datos!W18)/Datos!W18),(Datos!M18-Datos!W18)/Datos!W18," - ")</f>
        <v>0.06</v>
      </c>
      <c r="I18" s="395">
        <f>IF(ISNUMBER((Tasas!C18-Datos!BE18)/Datos!BE18),(Tasas!C18-Datos!BE18)/Datos!BE18," - ")</f>
        <v>-1.3483173547251122E-2</v>
      </c>
      <c r="J18" s="394">
        <f>IF(ISNUMBER((Tasas!D18-Datos!BF18)/Datos!BF18),(Tasas!D18-Datos!BF18)/Datos!BF18," - ")</f>
        <v>2.2171003717472011E-2</v>
      </c>
      <c r="K18" s="396">
        <f>IF(ISNUMBER((Tasas!E18-Datos!BG18)/Datos!BG18),(Tasas!E18-Datos!BG18)/Datos!BG18," - ")</f>
        <v>-6.2476693418568006E-3</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1.015228426395939E-2</v>
      </c>
      <c r="E21" s="393">
        <f>IF(ISNUMBER((Datos!J21-Datos!T21)/Datos!T21),(Datos!J21-Datos!T21)/Datos!T21," - ")</f>
        <v>0.37522441651705568</v>
      </c>
      <c r="F21" s="393">
        <f>IF(ISNUMBER((Datos!K21-Datos!U21)/Datos!U21),(Datos!K21-Datos!U21)/Datos!U21," - ")</f>
        <v>0.14505119453924914</v>
      </c>
      <c r="G21" s="394">
        <f>IF(ISNUMBER((Datos!L21-Datos!V21)/Datos!V21),(Datos!L21-Datos!V21)/Datos!V21," - ")</f>
        <v>0.62311557788944727</v>
      </c>
      <c r="H21" s="244">
        <f>IF(ISNUMBER((Datos!M21-Datos!W21)/Datos!W21),(Datos!M21-Datos!W21)/Datos!W21," - ")</f>
        <v>0.13248638838475499</v>
      </c>
      <c r="I21" s="395">
        <f>IF(ISNUMBER((Tasas!C21-Datos!BE21)/Datos!BE21),(Tasas!C21-Datos!BE21)/Datos!BE21," - ")</f>
        <v>0.41750481168884668</v>
      </c>
      <c r="J21" s="394">
        <f>IF(ISNUMBER((Tasas!D21-Datos!BF21)/Datos!BF21),(Tasas!D21-Datos!BF21)/Datos!BF21," - ")</f>
        <v>-1.0973139204968056E-2</v>
      </c>
      <c r="K21" s="396">
        <f>IF(ISNUMBER((Tasas!E21-Datos!BG21)/Datos!BG21),(Tasas!E21-Datos!BG21)/Datos!BG21," - ")</f>
        <v>0.11771495886815274</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-0.1204972904048454</v>
      </c>
      <c r="E23" s="399">
        <f>IF(ISNUMBER(
   IF(D_I="SI",(Datos!J23-Datos!T23)/Datos!T23,(Datos!J23+Datos!AD23-(Datos!T23+Datos!AL23))/(Datos!T23+Datos!AL23))
     ),IF(D_I="SI",(Datos!J23-Datos!T23)/Datos!T23,(Datos!J23+Datos!AD23-(Datos!T23+Datos!AL23))/(Datos!T23+Datos!AL23))," - ")</f>
        <v>0.24669820618963137</v>
      </c>
      <c r="F23" s="399">
        <f>IF(ISNUMBER(
   IF(D_I="SI",(Datos!K23-Datos!U23)/Datos!U23,(Datos!K23+Datos!AE23-(Datos!U23+Datos!AM23))/(Datos!U23+Datos!AM23))
     ),IF(D_I="SI",(Datos!K23-Datos!U23)/Datos!U23,(Datos!K23+Datos!AE23-(Datos!U23+Datos!AM23))/(Datos!U23+Datos!AM23))," - ")</f>
        <v>0.17231638418079095</v>
      </c>
      <c r="G23" s="400">
        <f>IF(ISNUMBER(
   IF(D_I="SI",(Datos!L23-Datos!V23)/Datos!V23,(Datos!L23+Datos!AF23-(Datos!V23+Datos!AN23))/(Datos!V23+Datos!AN23))
     ),IF(D_I="SI",(Datos!L23-Datos!V23)/Datos!V23,(Datos!L23+Datos!AF23-(Datos!V23+Datos!AN23))/(Datos!V23+Datos!AN23))," - ")</f>
        <v>-0.13247553461399059</v>
      </c>
      <c r="H23" s="401">
        <f>IF(ISNUMBER((Datos!M23-Datos!W23)/Datos!W23),(Datos!M23-Datos!W23)/Datos!W23," - ")</f>
        <v>8.1279723303069609E-2</v>
      </c>
      <c r="I23" s="402">
        <f>IF(ISNUMBER((Tasas!C23-Datos!BE23)/Datos!BE23),(Tasas!C23-Datos!BE23)/Datos!BE23," - ")</f>
        <v>-0.25999117892374146</v>
      </c>
      <c r="J23" s="400">
        <f>IF(ISNUMBER((Tasas!D23-Datos!BF23)/Datos!BF23),(Tasas!D23-Datos!BF23)/Datos!BF23," - ")</f>
        <v>-7.7655368555935911E-2</v>
      </c>
      <c r="K23" s="403">
        <f>IF(ISNUMBER((Tasas!E23-Datos!BG23)/Datos!BG23),(Tasas!E23-Datos!BG23)/Datos!BG23," - ")</f>
        <v>-5.6232041442261044E-2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-0.41458333333333336</v>
      </c>
      <c r="E28" s="393">
        <f>IF(ISNUMBER((Datos!J28-Datos!T28)/Datos!T28),(Datos!J28-Datos!T28)/Datos!T28," - ")</f>
        <v>0.34298957126303592</v>
      </c>
      <c r="F28" s="393">
        <f>IF(ISNUMBER((Datos!K28-Datos!U28)/Datos!U28),(Datos!K28-Datos!U28)/Datos!U28," - ")</f>
        <v>-0.21274900398406374</v>
      </c>
      <c r="G28" s="394">
        <f>IF(ISNUMBER((Datos!L28-Datos!V28)/Datos!V28),(Datos!L28-Datos!V28)/Datos!V28," - ")</f>
        <v>0.27224199288256229</v>
      </c>
      <c r="H28" s="244">
        <f>IF(ISNUMBER((Datos!M28-Datos!W28)/Datos!W28),(Datos!M28-Datos!W28)/Datos!W28," - ")</f>
        <v>-0.25426944971537002</v>
      </c>
      <c r="I28" s="395">
        <f>IF(ISNUMBER((Tasas!C28-Datos!BE28)/Datos!BE28),(Tasas!C28-Datos!BE28)/Datos!BE28," - ")</f>
        <v>0.61605637759880139</v>
      </c>
      <c r="J28" s="394">
        <f>IF(ISNUMBER((Tasas!D28-Datos!BF28)/Datos!BF28),(Tasas!D28-Datos!BF28)/Datos!BF28," - ")</f>
        <v>-5.2741052016993285E-2</v>
      </c>
      <c r="K28" s="396">
        <f>IF(ISNUMBER((Tasas!E28-Datos!BG28)/Datos!BG28),(Tasas!E28-Datos!BG28)/Datos!BG28," - ")</f>
        <v>0.19917062900721988</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-0.41458333333333336</v>
      </c>
      <c r="E30" s="1109">
        <f>IF(ISNUMBER((Datos!J30-Datos!T30)/Datos!T30),(Datos!J30-Datos!T30)/Datos!T30," - ")</f>
        <v>0.34298957126303592</v>
      </c>
      <c r="F30" s="1109">
        <f>IF(ISNUMBER((Datos!K30-Datos!U30)/Datos!U30),(Datos!K30-Datos!U30)/Datos!U30," - ")</f>
        <v>-0.21274900398406374</v>
      </c>
      <c r="G30" s="1110">
        <f>IF(ISNUMBER((Datos!L30-Datos!V30)/Datos!V30),(Datos!L30-Datos!V30)/Datos!V30," - ")</f>
        <v>0.27224199288256229</v>
      </c>
      <c r="H30" s="1111">
        <f>IF(ISNUMBER((Datos!M30-Datos!W30)/Datos!W30),(Datos!M30-Datos!W30)/Datos!W30," - ")</f>
        <v>-0.25426944971537002</v>
      </c>
      <c r="I30" s="1112">
        <f>IF(ISNUMBER((Tasas!C30-Datos!BE30)/Datos!BE30),(Tasas!C30-Datos!BE30)/Datos!BE30," - ")</f>
        <v>0.61605637759880139</v>
      </c>
      <c r="J30" s="1110">
        <f>IF(ISNUMBER((Tasas!D30-Datos!BF30)/Datos!BF30),(Tasas!D30-Datos!BF30)/Datos!BF30," - ")</f>
        <v>-5.2741052016993285E-2</v>
      </c>
      <c r="K30" s="1113">
        <f>IF(ISNUMBER((Tasas!E30-Datos!BG30)/Datos!BG30),(Tasas!E30-Datos!BG30)/Datos!BG30," - ")</f>
        <v>0.19917062900721988</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-0.16586659024145589</v>
      </c>
      <c r="E31" s="409">
        <f>IF(ISNUMBER(
   IF(J_V="SI",(Datos!J31-Datos!T31)/Datos!T31,(Datos!J31+Datos!Z31-(Datos!T31+Datos!AH31))/(Datos!T31+Datos!AH31))
     ),IF(J_V="SI",(Datos!J31-Datos!T31)/Datos!T31,(Datos!J31+Datos!Z31-(Datos!T31+Datos!AH31))/(Datos!T31+Datos!AH31))," - ")</f>
        <v>0.21650930671702184</v>
      </c>
      <c r="F31" s="409">
        <f>IF(ISNUMBER(
   IF(J_V="SI",(Datos!K31-Datos!U31)/Datos!U31,(Datos!K31+Datos!AA31-(Datos!U31+Datos!AI31))/(Datos!U31+Datos!AI31))
     ),IF(J_V="SI",(Datos!K31-Datos!U31)/Datos!U31,(Datos!K31+Datos!AA31-(Datos!U31+Datos!AI31))/(Datos!U31+Datos!AI31))," - ")</f>
        <v>6.7322929171668669E-2</v>
      </c>
      <c r="G31" s="410">
        <f>IF(ISNUMBER(
   IF(J_V="SI",(Datos!L31-Datos!V31)/Datos!V31,(Datos!L31+Datos!AB31-(Datos!V31+Datos!AJ31))/(Datos!V31+Datos!AJ31))
     ),IF(J_V="SI",(Datos!L31-Datos!V31)/Datos!V31,(Datos!L31+Datos!AB31-(Datos!V31+Datos!AJ31))/(Datos!V31+Datos!AJ31))," - ")</f>
        <v>-3.9254423638550077E-2</v>
      </c>
      <c r="H31" s="411">
        <f>IF(ISNUMBER((Datos!M31-Datos!W31)/Datos!W31),(Datos!M31-Datos!W31)/Datos!W31," - ")</f>
        <v>2.6554013277006638E-2</v>
      </c>
      <c r="I31" s="408">
        <f>IF(ISNUMBER((Tasas!C31-Datos!BE31)/Datos!BE31),(Tasas!C31-Datos!BE31)/Datos!BE31," - ")</f>
        <v>-9.9854832963189144E-2</v>
      </c>
      <c r="J31" s="409">
        <f>IF(ISNUMBER((Tasas!D31-Datos!BF31)/Datos!BF31),(Tasas!D31-Datos!BF31)/Datos!BF31," - ")</f>
        <v>-0.11427918970003885</v>
      </c>
      <c r="K31" s="410">
        <f>IF(ISNUMBER((Tasas!E31-Datos!BG31)/Datos!BG31),(Tasas!E31-Datos!BG31)/Datos!BG31," - ")</f>
        <v>-1.4113733674798991E-2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0.15994902197269051</v>
      </c>
      <c r="E33" s="303">
        <f t="shared" si="1"/>
        <v>0.13727861576181236</v>
      </c>
      <c r="F33" s="303">
        <f t="shared" si="1"/>
        <v>0.19264111370203371</v>
      </c>
      <c r="G33" s="304">
        <f t="shared" si="1"/>
        <v>0.31109443146024313</v>
      </c>
      <c r="H33" s="310">
        <f t="shared" si="1"/>
        <v>0.16609985828803303</v>
      </c>
      <c r="I33" s="302">
        <f t="shared" si="1"/>
        <v>0.43177108262252223</v>
      </c>
      <c r="J33" s="303">
        <f t="shared" si="1"/>
        <v>4.6620647927971159E-2</v>
      </c>
      <c r="K33" s="304">
        <f t="shared" si="1"/>
        <v>0.14745772545562466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w8JJkkFuEdZ/wrlJL2Ae4Ewm7FpHUO7aEJ0s8wo0sL+wLGfMQixZ7dI0yQvH+8Fru5KBAN/l/dEQKk7gkJsjA==" saltValue="aYBrDYLzQ4vcDUkybeJcL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